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5120" windowHeight="7590" tabRatio="784" activeTab="1"/>
  </bookViews>
  <sheets>
    <sheet name="явка" sheetId="1" r:id="rId1"/>
    <sheet name="Порядок денний " sheetId="27" r:id="rId2"/>
    <sheet name="1" sheetId="3" r:id="rId3"/>
    <sheet name="2" sheetId="58" r:id="rId4"/>
    <sheet name="3" sheetId="59" r:id="rId5"/>
    <sheet name="4" sheetId="60" r:id="rId6"/>
    <sheet name="5" sheetId="61" r:id="rId7"/>
    <sheet name="6" sheetId="62" r:id="rId8"/>
    <sheet name="7" sheetId="63" r:id="rId9"/>
    <sheet name="8" sheetId="64" r:id="rId10"/>
    <sheet name="9" sheetId="65" r:id="rId11"/>
    <sheet name="10" sheetId="66" r:id="rId12"/>
    <sheet name="11" sheetId="67" r:id="rId13"/>
    <sheet name="12" sheetId="68" r:id="rId14"/>
    <sheet name="13" sheetId="69" r:id="rId15"/>
    <sheet name="14" sheetId="70" r:id="rId16"/>
    <sheet name="15" sheetId="71" r:id="rId17"/>
    <sheet name="16" sheetId="72" r:id="rId18"/>
    <sheet name="17" sheetId="73" r:id="rId19"/>
    <sheet name="18" sheetId="74" r:id="rId20"/>
    <sheet name="19" sheetId="75" r:id="rId21"/>
    <sheet name="20" sheetId="76" r:id="rId22"/>
    <sheet name="21" sheetId="78" r:id="rId23"/>
    <sheet name="22" sheetId="80" r:id="rId24"/>
    <sheet name="23" sheetId="81" r:id="rId25"/>
    <sheet name="24" sheetId="82" r:id="rId26"/>
    <sheet name="25" sheetId="83" r:id="rId27"/>
    <sheet name="26" sheetId="84" r:id="rId28"/>
    <sheet name="27" sheetId="85" r:id="rId29"/>
    <sheet name="28" sheetId="86" r:id="rId30"/>
    <sheet name="29" sheetId="87" r:id="rId31"/>
    <sheet name="30" sheetId="88" r:id="rId32"/>
    <sheet name="31" sheetId="89" r:id="rId33"/>
    <sheet name="32" sheetId="90" r:id="rId34"/>
    <sheet name="33" sheetId="91" r:id="rId35"/>
    <sheet name="34" sheetId="92" r:id="rId36"/>
    <sheet name="35" sheetId="93" r:id="rId37"/>
    <sheet name="регламент" sheetId="14" r:id="rId38"/>
    <sheet name="лічильна комісія" sheetId="18" r:id="rId39"/>
    <sheet name="Секретар" sheetId="17" r:id="rId40"/>
    <sheet name="резерв" sheetId="19" r:id="rId41"/>
    <sheet name="За порядок денний" sheetId="16" r:id="rId42"/>
    <sheet name="дані" sheetId="2" r:id="rId43"/>
  </sheets>
  <definedNames>
    <definedName name="_xlnm._FilterDatabase" localSheetId="1" hidden="1">'Порядок денний '!$A$1:$H$33</definedName>
    <definedName name="_xlnm.Print_Area" localSheetId="2">'1'!$A$1:$F$38</definedName>
    <definedName name="_xlnm.Print_Area" localSheetId="11">'10'!$A$1:$F$38</definedName>
    <definedName name="_xlnm.Print_Area" localSheetId="12">'11'!$A$1:$F$38</definedName>
    <definedName name="_xlnm.Print_Area" localSheetId="13">'12'!$A$1:$F$38</definedName>
    <definedName name="_xlnm.Print_Area" localSheetId="14">'13'!$A$1:$F$38</definedName>
    <definedName name="_xlnm.Print_Area" localSheetId="15">'14'!$A$1:$F$38</definedName>
    <definedName name="_xlnm.Print_Area" localSheetId="16">'15'!$A$1:$F$38</definedName>
    <definedName name="_xlnm.Print_Area" localSheetId="17">'16'!$A$1:$F$38</definedName>
    <definedName name="_xlnm.Print_Area" localSheetId="18">'17'!$A$1:$F$38</definedName>
    <definedName name="_xlnm.Print_Area" localSheetId="19">'18'!$A$1:$F$38</definedName>
    <definedName name="_xlnm.Print_Area" localSheetId="20">'19'!$A$1:$F$38</definedName>
    <definedName name="_xlnm.Print_Area" localSheetId="3">'2'!$A$1:$F$38</definedName>
    <definedName name="_xlnm.Print_Area" localSheetId="21">'20'!$A$1:$F$38</definedName>
    <definedName name="_xlnm.Print_Area" localSheetId="22">'21'!$A$1:$F$38</definedName>
    <definedName name="_xlnm.Print_Area" localSheetId="23">'22'!$A$1:$F$38</definedName>
    <definedName name="_xlnm.Print_Area" localSheetId="24">'23'!$A$1:$F$38</definedName>
    <definedName name="_xlnm.Print_Area" localSheetId="25">'24'!$A$1:$F$38</definedName>
    <definedName name="_xlnm.Print_Area" localSheetId="26">'25'!$A$1:$F$38</definedName>
    <definedName name="_xlnm.Print_Area" localSheetId="27">'26'!$A$1:$F$38</definedName>
    <definedName name="_xlnm.Print_Area" localSheetId="28">'27'!$A$1:$F$38</definedName>
    <definedName name="_xlnm.Print_Area" localSheetId="29">'28'!$A$1:$F$57</definedName>
    <definedName name="_xlnm.Print_Area" localSheetId="30">'29'!$A$1:$F$38</definedName>
    <definedName name="_xlnm.Print_Area" localSheetId="4">'3'!$A$1:$F$38</definedName>
    <definedName name="_xlnm.Print_Area" localSheetId="31">'30'!$A$1:$F$38</definedName>
    <definedName name="_xlnm.Print_Area" localSheetId="32">'31'!$A$1:$F$38</definedName>
    <definedName name="_xlnm.Print_Area" localSheetId="33">'32'!$A$1:$F$38</definedName>
    <definedName name="_xlnm.Print_Area" localSheetId="34">'33'!$A$1:$F$38</definedName>
    <definedName name="_xlnm.Print_Area" localSheetId="35">'34'!$A$1:$F$38</definedName>
    <definedName name="_xlnm.Print_Area" localSheetId="36">'35'!$A$1:$F$38</definedName>
    <definedName name="_xlnm.Print_Area" localSheetId="5">'4'!$A$1:$F$38</definedName>
    <definedName name="_xlnm.Print_Area" localSheetId="6">'5'!$A$1:$F$38</definedName>
    <definedName name="_xlnm.Print_Area" localSheetId="7">'6'!$A$1:$F$38</definedName>
    <definedName name="_xlnm.Print_Area" localSheetId="8">'7'!$A$1:$F$38</definedName>
    <definedName name="_xlnm.Print_Area" localSheetId="9">'8'!$A$1:$F$38</definedName>
    <definedName name="_xlnm.Print_Area" localSheetId="10">'9'!$A$1:$F$38</definedName>
    <definedName name="_xlnm.Print_Area" localSheetId="1">'Порядок денний '!$A$1:$H$33</definedName>
  </definedNames>
  <calcPr calcId="144525"/>
</workbook>
</file>

<file path=xl/calcChain.xml><?xml version="1.0" encoding="utf-8"?>
<calcChain xmlns="http://schemas.openxmlformats.org/spreadsheetml/2006/main">
  <c r="D49" i="86" l="1"/>
  <c r="E49" i="86"/>
  <c r="F49" i="86"/>
  <c r="C49" i="86"/>
  <c r="A3" i="27" l="1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B38" i="93"/>
  <c r="A38" i="93"/>
  <c r="A37" i="93"/>
  <c r="B36" i="93"/>
  <c r="A36" i="93"/>
  <c r="A35" i="93"/>
  <c r="B34" i="93"/>
  <c r="A34" i="93"/>
  <c r="B33" i="93"/>
  <c r="B38" i="92"/>
  <c r="A38" i="92"/>
  <c r="A37" i="92"/>
  <c r="B36" i="92"/>
  <c r="A36" i="92"/>
  <c r="A35" i="92"/>
  <c r="B34" i="92"/>
  <c r="A34" i="92"/>
  <c r="B33" i="92"/>
  <c r="B38" i="91"/>
  <c r="A38" i="91"/>
  <c r="A37" i="91"/>
  <c r="B36" i="91"/>
  <c r="A36" i="91"/>
  <c r="A35" i="91"/>
  <c r="B34" i="91"/>
  <c r="A34" i="91"/>
  <c r="B33" i="91"/>
  <c r="B38" i="90"/>
  <c r="A38" i="90"/>
  <c r="A37" i="90"/>
  <c r="B36" i="90"/>
  <c r="A36" i="90"/>
  <c r="A35" i="90"/>
  <c r="B34" i="90"/>
  <c r="A34" i="90"/>
  <c r="B33" i="90"/>
  <c r="B38" i="89"/>
  <c r="A38" i="89"/>
  <c r="A37" i="89"/>
  <c r="B36" i="89"/>
  <c r="A36" i="89"/>
  <c r="A35" i="89"/>
  <c r="B34" i="89"/>
  <c r="A34" i="89"/>
  <c r="B33" i="89"/>
  <c r="B38" i="88"/>
  <c r="A38" i="88"/>
  <c r="A37" i="88"/>
  <c r="B36" i="88"/>
  <c r="A36" i="88"/>
  <c r="A35" i="88"/>
  <c r="B34" i="88"/>
  <c r="A34" i="88"/>
  <c r="B33" i="88"/>
  <c r="B38" i="87"/>
  <c r="A38" i="87"/>
  <c r="A37" i="87"/>
  <c r="B36" i="87"/>
  <c r="A36" i="87"/>
  <c r="A35" i="87"/>
  <c r="B34" i="87"/>
  <c r="A34" i="87"/>
  <c r="B33" i="87"/>
  <c r="B55" i="86"/>
  <c r="A55" i="86"/>
  <c r="A54" i="86"/>
  <c r="B53" i="86"/>
  <c r="A53" i="86"/>
  <c r="A52" i="86"/>
  <c r="B51" i="86"/>
  <c r="A51" i="86"/>
  <c r="B50" i="86"/>
  <c r="B38" i="85"/>
  <c r="A38" i="85"/>
  <c r="A37" i="85"/>
  <c r="B36" i="85"/>
  <c r="A36" i="85"/>
  <c r="A35" i="85"/>
  <c r="B34" i="85"/>
  <c r="A34" i="85"/>
  <c r="B33" i="85"/>
  <c r="B38" i="84"/>
  <c r="A38" i="84"/>
  <c r="A37" i="84"/>
  <c r="B36" i="84"/>
  <c r="A36" i="84"/>
  <c r="A35" i="84"/>
  <c r="B34" i="84"/>
  <c r="A34" i="84"/>
  <c r="B33" i="84"/>
  <c r="B38" i="83"/>
  <c r="A38" i="83"/>
  <c r="A37" i="83"/>
  <c r="B36" i="83"/>
  <c r="A36" i="83"/>
  <c r="A35" i="83"/>
  <c r="B34" i="83"/>
  <c r="A34" i="83"/>
  <c r="B33" i="83"/>
  <c r="B38" i="82"/>
  <c r="A38" i="82"/>
  <c r="A37" i="82"/>
  <c r="B36" i="82"/>
  <c r="A36" i="82"/>
  <c r="A35" i="82"/>
  <c r="B34" i="82"/>
  <c r="A34" i="82"/>
  <c r="B33" i="82"/>
  <c r="B38" i="81"/>
  <c r="A38" i="81"/>
  <c r="A37" i="81"/>
  <c r="B36" i="81"/>
  <c r="A36" i="81"/>
  <c r="A35" i="81"/>
  <c r="B34" i="81"/>
  <c r="A34" i="81"/>
  <c r="B33" i="81"/>
  <c r="B38" i="80"/>
  <c r="A38" i="80"/>
  <c r="A37" i="80"/>
  <c r="B36" i="80"/>
  <c r="A36" i="80"/>
  <c r="A35" i="80"/>
  <c r="B34" i="80"/>
  <c r="A34" i="80"/>
  <c r="B33" i="80"/>
  <c r="B38" i="78"/>
  <c r="A38" i="78"/>
  <c r="A37" i="78"/>
  <c r="B36" i="78"/>
  <c r="A36" i="78"/>
  <c r="A35" i="78"/>
  <c r="B34" i="78"/>
  <c r="A34" i="78"/>
  <c r="B33" i="78"/>
  <c r="B38" i="76"/>
  <c r="A38" i="76"/>
  <c r="A37" i="76"/>
  <c r="B36" i="76"/>
  <c r="A36" i="76"/>
  <c r="A35" i="76"/>
  <c r="B34" i="76"/>
  <c r="A34" i="76"/>
  <c r="B33" i="76"/>
  <c r="B38" i="75"/>
  <c r="A38" i="75"/>
  <c r="A37" i="75"/>
  <c r="B36" i="75"/>
  <c r="A36" i="75"/>
  <c r="A35" i="75"/>
  <c r="B34" i="75"/>
  <c r="A34" i="75"/>
  <c r="B33" i="75"/>
  <c r="B38" i="74"/>
  <c r="A38" i="74"/>
  <c r="A37" i="74"/>
  <c r="B36" i="74"/>
  <c r="A36" i="74"/>
  <c r="A35" i="74"/>
  <c r="B34" i="74"/>
  <c r="A34" i="74"/>
  <c r="B33" i="74"/>
  <c r="B38" i="73"/>
  <c r="A38" i="73"/>
  <c r="A37" i="73"/>
  <c r="B36" i="73"/>
  <c r="A36" i="73"/>
  <c r="A35" i="73"/>
  <c r="B34" i="73"/>
  <c r="A34" i="73"/>
  <c r="B33" i="73"/>
  <c r="B38" i="72"/>
  <c r="A38" i="72"/>
  <c r="A37" i="72"/>
  <c r="B36" i="72"/>
  <c r="A36" i="72"/>
  <c r="A35" i="72"/>
  <c r="B34" i="72"/>
  <c r="A34" i="72"/>
  <c r="B33" i="72"/>
  <c r="B38" i="71"/>
  <c r="A38" i="71"/>
  <c r="A37" i="71"/>
  <c r="B36" i="71"/>
  <c r="A36" i="71"/>
  <c r="A35" i="71"/>
  <c r="B34" i="71"/>
  <c r="A34" i="71"/>
  <c r="B33" i="71"/>
  <c r="B38" i="70"/>
  <c r="A38" i="70"/>
  <c r="A37" i="70"/>
  <c r="B36" i="70"/>
  <c r="A36" i="70"/>
  <c r="A35" i="70"/>
  <c r="B34" i="70"/>
  <c r="A34" i="70"/>
  <c r="B33" i="70"/>
  <c r="B38" i="69"/>
  <c r="A38" i="69"/>
  <c r="A37" i="69"/>
  <c r="B36" i="69"/>
  <c r="A36" i="69"/>
  <c r="A35" i="69"/>
  <c r="B34" i="69"/>
  <c r="A34" i="69"/>
  <c r="B33" i="69"/>
  <c r="B38" i="68"/>
  <c r="A38" i="68"/>
  <c r="A37" i="68"/>
  <c r="B36" i="68"/>
  <c r="A36" i="68"/>
  <c r="A35" i="68"/>
  <c r="B34" i="68"/>
  <c r="A34" i="68"/>
  <c r="B33" i="68"/>
  <c r="B38" i="67"/>
  <c r="A38" i="67"/>
  <c r="A37" i="67"/>
  <c r="B36" i="67"/>
  <c r="A36" i="67"/>
  <c r="A35" i="67"/>
  <c r="B34" i="67"/>
  <c r="A34" i="67"/>
  <c r="B33" i="67"/>
  <c r="B38" i="66"/>
  <c r="A38" i="66"/>
  <c r="A37" i="66"/>
  <c r="B36" i="66"/>
  <c r="A36" i="66"/>
  <c r="A35" i="66"/>
  <c r="B34" i="66"/>
  <c r="A34" i="66"/>
  <c r="B33" i="66"/>
  <c r="B38" i="65"/>
  <c r="A38" i="65"/>
  <c r="A37" i="65"/>
  <c r="B36" i="65"/>
  <c r="A36" i="65"/>
  <c r="A35" i="65"/>
  <c r="B34" i="65"/>
  <c r="A34" i="65"/>
  <c r="B33" i="65"/>
  <c r="B38" i="64"/>
  <c r="A38" i="64"/>
  <c r="A37" i="64"/>
  <c r="B36" i="64"/>
  <c r="A36" i="64"/>
  <c r="A35" i="64"/>
  <c r="B34" i="64"/>
  <c r="A34" i="64"/>
  <c r="B33" i="64"/>
  <c r="B38" i="63"/>
  <c r="A38" i="63"/>
  <c r="A37" i="63"/>
  <c r="B36" i="63"/>
  <c r="A36" i="63"/>
  <c r="A35" i="63"/>
  <c r="B34" i="63"/>
  <c r="A34" i="63"/>
  <c r="B33" i="63"/>
  <c r="B38" i="62"/>
  <c r="A38" i="62"/>
  <c r="A37" i="62"/>
  <c r="B36" i="62"/>
  <c r="A36" i="62"/>
  <c r="A35" i="62"/>
  <c r="B34" i="62"/>
  <c r="A34" i="62"/>
  <c r="B33" i="62"/>
  <c r="B38" i="61"/>
  <c r="A38" i="61"/>
  <c r="A37" i="61"/>
  <c r="B36" i="61"/>
  <c r="A36" i="61"/>
  <c r="A35" i="61"/>
  <c r="B34" i="61"/>
  <c r="A34" i="61"/>
  <c r="B33" i="61"/>
  <c r="B38" i="60"/>
  <c r="A38" i="60"/>
  <c r="A37" i="60"/>
  <c r="B36" i="60"/>
  <c r="A36" i="60"/>
  <c r="A35" i="60"/>
  <c r="B34" i="60"/>
  <c r="A34" i="60"/>
  <c r="B33" i="60"/>
  <c r="B38" i="59"/>
  <c r="A38" i="59"/>
  <c r="A37" i="59"/>
  <c r="B36" i="59"/>
  <c r="A36" i="59"/>
  <c r="A35" i="59"/>
  <c r="B34" i="59"/>
  <c r="A34" i="59"/>
  <c r="B33" i="59"/>
  <c r="B38" i="58"/>
  <c r="A38" i="58"/>
  <c r="A37" i="58"/>
  <c r="B36" i="58"/>
  <c r="A36" i="58"/>
  <c r="A35" i="58"/>
  <c r="B34" i="58"/>
  <c r="A34" i="58"/>
  <c r="B33" i="58"/>
  <c r="A35" i="3"/>
  <c r="A36" i="3"/>
  <c r="B36" i="3"/>
  <c r="A37" i="3"/>
  <c r="A38" i="3"/>
  <c r="B38" i="3"/>
  <c r="A34" i="3"/>
  <c r="B34" i="3"/>
  <c r="B33" i="3"/>
  <c r="A35" i="18"/>
  <c r="A36" i="18"/>
  <c r="A37" i="18"/>
  <c r="A38" i="18"/>
  <c r="A34" i="18"/>
  <c r="F30" i="93" l="1"/>
  <c r="F30" i="92"/>
  <c r="F30" i="91"/>
  <c r="F30" i="90"/>
  <c r="F30" i="89"/>
  <c r="F30" i="88"/>
  <c r="F30" i="87"/>
  <c r="F23" i="86"/>
  <c r="F30" i="85"/>
  <c r="F30" i="84"/>
  <c r="F30" i="83"/>
  <c r="F30" i="82"/>
  <c r="F30" i="81"/>
  <c r="F30" i="80"/>
  <c r="F30" i="78"/>
  <c r="F30" i="76"/>
  <c r="F30" i="75"/>
  <c r="F30" i="74"/>
  <c r="F30" i="73"/>
  <c r="F30" i="71"/>
  <c r="F30" i="70"/>
  <c r="F30" i="69"/>
  <c r="F30" i="68"/>
  <c r="F30" i="67"/>
  <c r="F30" i="66"/>
  <c r="F30" i="65"/>
  <c r="F30" i="64"/>
  <c r="F30" i="63"/>
  <c r="F30" i="62"/>
  <c r="F30" i="61"/>
  <c r="F30" i="60"/>
  <c r="F30" i="59"/>
  <c r="F30" i="58"/>
  <c r="F30" i="3"/>
  <c r="F30" i="16"/>
  <c r="F30" i="19"/>
  <c r="F30" i="17"/>
  <c r="F30" i="18"/>
  <c r="F30" i="14"/>
  <c r="F3" i="27" l="1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2" i="27"/>
  <c r="B1" i="93" l="1"/>
  <c r="B1" i="92"/>
  <c r="B1" i="91"/>
  <c r="B1" i="90"/>
  <c r="B1" i="89"/>
  <c r="E30" i="93"/>
  <c r="D30" i="93"/>
  <c r="C30" i="93"/>
  <c r="E30" i="92"/>
  <c r="D30" i="92"/>
  <c r="C30" i="92"/>
  <c r="E30" i="91"/>
  <c r="D30" i="91"/>
  <c r="C30" i="91"/>
  <c r="E30" i="90"/>
  <c r="E33" i="27" s="1"/>
  <c r="D30" i="90"/>
  <c r="D33" i="27" s="1"/>
  <c r="C30" i="90"/>
  <c r="E30" i="89"/>
  <c r="E32" i="27" s="1"/>
  <c r="D30" i="89"/>
  <c r="D32" i="27" s="1"/>
  <c r="C30" i="89"/>
  <c r="B31" i="93" l="1"/>
  <c r="B31" i="92"/>
  <c r="B31" i="91"/>
  <c r="B31" i="90"/>
  <c r="G33" i="27" s="1"/>
  <c r="C33" i="27"/>
  <c r="B31" i="89"/>
  <c r="G32" i="27" s="1"/>
  <c r="C32" i="27"/>
  <c r="B1" i="88" l="1"/>
  <c r="B1" i="87"/>
  <c r="B1" i="85"/>
  <c r="B1" i="84"/>
  <c r="B1" i="83"/>
  <c r="B1" i="82"/>
  <c r="B1" i="81"/>
  <c r="B1" i="80"/>
  <c r="B1" i="78"/>
  <c r="B1" i="76"/>
  <c r="B1" i="75"/>
  <c r="B1" i="74"/>
  <c r="B1" i="73"/>
  <c r="B1" i="72"/>
  <c r="B1" i="71"/>
  <c r="B1" i="70"/>
  <c r="B1" i="69"/>
  <c r="B1" i="68"/>
  <c r="B1" i="67"/>
  <c r="B1" i="66"/>
  <c r="B1" i="65"/>
  <c r="B1" i="64"/>
  <c r="B1" i="63"/>
  <c r="B1" i="62"/>
  <c r="B1" i="61"/>
  <c r="B1" i="60"/>
  <c r="E30" i="88"/>
  <c r="E31" i="27" s="1"/>
  <c r="D30" i="88"/>
  <c r="D31" i="27" s="1"/>
  <c r="C30" i="88"/>
  <c r="E30" i="87"/>
  <c r="E30" i="27" s="1"/>
  <c r="D30" i="87"/>
  <c r="D30" i="27" s="1"/>
  <c r="C30" i="87"/>
  <c r="E23" i="86"/>
  <c r="E29" i="27" s="1"/>
  <c r="D23" i="86"/>
  <c r="D29" i="27" s="1"/>
  <c r="C23" i="86"/>
  <c r="E30" i="85"/>
  <c r="E28" i="27" s="1"/>
  <c r="D30" i="85"/>
  <c r="D28" i="27" s="1"/>
  <c r="C30" i="85"/>
  <c r="E30" i="84"/>
  <c r="E27" i="27" s="1"/>
  <c r="D30" i="84"/>
  <c r="D27" i="27" s="1"/>
  <c r="C30" i="84"/>
  <c r="E30" i="83"/>
  <c r="E26" i="27" s="1"/>
  <c r="D30" i="83"/>
  <c r="D26" i="27" s="1"/>
  <c r="C30" i="83"/>
  <c r="E30" i="82"/>
  <c r="E25" i="27" s="1"/>
  <c r="D30" i="82"/>
  <c r="D25" i="27" s="1"/>
  <c r="C30" i="82"/>
  <c r="E30" i="81"/>
  <c r="E24" i="27" s="1"/>
  <c r="D30" i="81"/>
  <c r="D24" i="27" s="1"/>
  <c r="C30" i="81"/>
  <c r="E30" i="80"/>
  <c r="E23" i="27" s="1"/>
  <c r="D30" i="80"/>
  <c r="D23" i="27" s="1"/>
  <c r="C30" i="80"/>
  <c r="E30" i="78"/>
  <c r="E22" i="27" s="1"/>
  <c r="D30" i="78"/>
  <c r="D22" i="27" s="1"/>
  <c r="C30" i="78"/>
  <c r="E30" i="76"/>
  <c r="E21" i="27" s="1"/>
  <c r="D30" i="76"/>
  <c r="D21" i="27" s="1"/>
  <c r="C30" i="76"/>
  <c r="E30" i="75"/>
  <c r="E20" i="27" s="1"/>
  <c r="D30" i="75"/>
  <c r="D20" i="27" s="1"/>
  <c r="C30" i="75"/>
  <c r="E30" i="74"/>
  <c r="E19" i="27" s="1"/>
  <c r="D30" i="74"/>
  <c r="D19" i="27" s="1"/>
  <c r="C30" i="74"/>
  <c r="E30" i="73"/>
  <c r="E18" i="27" s="1"/>
  <c r="D30" i="73"/>
  <c r="D18" i="27" s="1"/>
  <c r="C30" i="73"/>
  <c r="E30" i="72"/>
  <c r="E17" i="27" s="1"/>
  <c r="D30" i="72"/>
  <c r="D17" i="27" s="1"/>
  <c r="C30" i="72"/>
  <c r="E30" i="71"/>
  <c r="E16" i="27" s="1"/>
  <c r="D30" i="71"/>
  <c r="D16" i="27" s="1"/>
  <c r="C30" i="71"/>
  <c r="E30" i="70"/>
  <c r="E15" i="27" s="1"/>
  <c r="D30" i="70"/>
  <c r="D15" i="27" s="1"/>
  <c r="C30" i="70"/>
  <c r="E30" i="69"/>
  <c r="E14" i="27" s="1"/>
  <c r="D30" i="69"/>
  <c r="D14" i="27" s="1"/>
  <c r="C30" i="69"/>
  <c r="E30" i="68"/>
  <c r="E13" i="27" s="1"/>
  <c r="D30" i="68"/>
  <c r="D13" i="27" s="1"/>
  <c r="C30" i="68"/>
  <c r="E30" i="67"/>
  <c r="E12" i="27" s="1"/>
  <c r="D30" i="67"/>
  <c r="D12" i="27" s="1"/>
  <c r="C30" i="67"/>
  <c r="E30" i="66"/>
  <c r="E11" i="27" s="1"/>
  <c r="D30" i="66"/>
  <c r="D11" i="27" s="1"/>
  <c r="C30" i="66"/>
  <c r="E30" i="65"/>
  <c r="E10" i="27" s="1"/>
  <c r="D30" i="65"/>
  <c r="D10" i="27" s="1"/>
  <c r="C30" i="65"/>
  <c r="E30" i="64"/>
  <c r="E9" i="27" s="1"/>
  <c r="D30" i="64"/>
  <c r="D9" i="27" s="1"/>
  <c r="C30" i="64"/>
  <c r="E30" i="63"/>
  <c r="E8" i="27" s="1"/>
  <c r="D30" i="63"/>
  <c r="D8" i="27" s="1"/>
  <c r="C30" i="63"/>
  <c r="E30" i="62"/>
  <c r="E7" i="27" s="1"/>
  <c r="D30" i="62"/>
  <c r="D7" i="27" s="1"/>
  <c r="C30" i="62"/>
  <c r="E30" i="61"/>
  <c r="E6" i="27" s="1"/>
  <c r="D30" i="61"/>
  <c r="D6" i="27" s="1"/>
  <c r="C30" i="61"/>
  <c r="E30" i="60"/>
  <c r="E5" i="27" s="1"/>
  <c r="D30" i="60"/>
  <c r="D5" i="27" s="1"/>
  <c r="C30" i="60"/>
  <c r="B1" i="59"/>
  <c r="E30" i="59"/>
  <c r="E4" i="27" s="1"/>
  <c r="D30" i="59"/>
  <c r="D4" i="27" s="1"/>
  <c r="C30" i="59"/>
  <c r="B1" i="58"/>
  <c r="B1" i="3"/>
  <c r="E30" i="58"/>
  <c r="E3" i="27" s="1"/>
  <c r="D30" i="58"/>
  <c r="D3" i="27" s="1"/>
  <c r="C30" i="58"/>
  <c r="A3" i="1"/>
  <c r="C31" i="27" l="1"/>
  <c r="B31" i="88"/>
  <c r="G31" i="27" s="1"/>
  <c r="B31" i="87"/>
  <c r="G30" i="27" s="1"/>
  <c r="C30" i="27"/>
  <c r="C29" i="27"/>
  <c r="B24" i="86"/>
  <c r="G29" i="27" s="1"/>
  <c r="C28" i="27"/>
  <c r="B31" i="85"/>
  <c r="G28" i="27" s="1"/>
  <c r="C27" i="27"/>
  <c r="B31" i="84"/>
  <c r="G27" i="27" s="1"/>
  <c r="C26" i="27"/>
  <c r="B31" i="83"/>
  <c r="G26" i="27" s="1"/>
  <c r="B31" i="82"/>
  <c r="G25" i="27" s="1"/>
  <c r="C25" i="27"/>
  <c r="C24" i="27"/>
  <c r="B31" i="81"/>
  <c r="G24" i="27" s="1"/>
  <c r="C23" i="27"/>
  <c r="B31" i="80"/>
  <c r="G23" i="27" s="1"/>
  <c r="C22" i="27"/>
  <c r="B31" i="78"/>
  <c r="G22" i="27" s="1"/>
  <c r="C21" i="27"/>
  <c r="B31" i="76"/>
  <c r="G21" i="27" s="1"/>
  <c r="C20" i="27"/>
  <c r="B31" i="75"/>
  <c r="G20" i="27" s="1"/>
  <c r="C19" i="27"/>
  <c r="B31" i="74"/>
  <c r="G19" i="27" s="1"/>
  <c r="C18" i="27"/>
  <c r="B31" i="73"/>
  <c r="G18" i="27" s="1"/>
  <c r="C17" i="27"/>
  <c r="B31" i="72"/>
  <c r="G17" i="27" s="1"/>
  <c r="C16" i="27"/>
  <c r="B31" i="71"/>
  <c r="G16" i="27" s="1"/>
  <c r="C15" i="27"/>
  <c r="B31" i="70"/>
  <c r="G15" i="27" s="1"/>
  <c r="C14" i="27"/>
  <c r="B31" i="69"/>
  <c r="G14" i="27" s="1"/>
  <c r="C13" i="27"/>
  <c r="B31" i="68"/>
  <c r="G13" i="27" s="1"/>
  <c r="C12" i="27"/>
  <c r="B31" i="67"/>
  <c r="G12" i="27" s="1"/>
  <c r="C11" i="27"/>
  <c r="B31" i="66"/>
  <c r="G11" i="27" s="1"/>
  <c r="C9" i="27"/>
  <c r="B31" i="64"/>
  <c r="G9" i="27" s="1"/>
  <c r="C8" i="27"/>
  <c r="B31" i="63"/>
  <c r="G8" i="27" s="1"/>
  <c r="C7" i="27"/>
  <c r="B31" i="62"/>
  <c r="G7" i="27" s="1"/>
  <c r="C6" i="27"/>
  <c r="B31" i="61"/>
  <c r="G6" i="27" s="1"/>
  <c r="C3" i="27"/>
  <c r="B31" i="58"/>
  <c r="G3" i="27" s="1"/>
  <c r="C10" i="27"/>
  <c r="B31" i="65"/>
  <c r="G10" i="27" s="1"/>
  <c r="C5" i="27"/>
  <c r="B31" i="60"/>
  <c r="G5" i="27" s="1"/>
  <c r="C4" i="27"/>
  <c r="B31" i="59"/>
  <c r="G4" i="27" s="1"/>
  <c r="E3" i="1"/>
  <c r="E30" i="19" l="1"/>
  <c r="D30" i="19"/>
  <c r="C30" i="19"/>
  <c r="E30" i="18"/>
  <c r="D30" i="18"/>
  <c r="C30" i="18"/>
  <c r="E30" i="17"/>
  <c r="D30" i="17"/>
  <c r="C30" i="17"/>
  <c r="E30" i="16"/>
  <c r="D30" i="16"/>
  <c r="C30" i="16"/>
  <c r="E30" i="14"/>
  <c r="D30" i="14"/>
  <c r="C30" i="14"/>
  <c r="D30" i="3"/>
  <c r="D2" i="27" s="1"/>
  <c r="E30" i="3"/>
  <c r="E2" i="27" s="1"/>
  <c r="C30" i="3"/>
  <c r="E8" i="1"/>
  <c r="E15" i="1"/>
  <c r="A15" i="1"/>
  <c r="E20" i="1"/>
  <c r="A20" i="1"/>
  <c r="A8" i="1"/>
  <c r="E23" i="1"/>
  <c r="A23" i="1"/>
  <c r="E13" i="1"/>
  <c r="A13" i="1"/>
  <c r="E10" i="1"/>
  <c r="A10" i="1"/>
  <c r="E27" i="1"/>
  <c r="A27" i="1"/>
  <c r="E5" i="1"/>
  <c r="A5" i="1"/>
  <c r="E6" i="1"/>
  <c r="A6" i="1"/>
  <c r="E11" i="1"/>
  <c r="A11" i="1"/>
  <c r="E16" i="1"/>
  <c r="A16" i="1"/>
  <c r="E25" i="1"/>
  <c r="A25" i="1"/>
  <c r="E22" i="1"/>
  <c r="A22" i="1"/>
  <c r="E28" i="1"/>
  <c r="A28" i="1"/>
  <c r="E18" i="1"/>
  <c r="A18" i="1"/>
  <c r="E24" i="1"/>
  <c r="A24" i="1"/>
  <c r="E19" i="1"/>
  <c r="A19" i="1"/>
  <c r="E29" i="1"/>
  <c r="A29" i="1"/>
  <c r="E9" i="1"/>
  <c r="A9" i="1"/>
  <c r="E14" i="1"/>
  <c r="A14" i="1"/>
  <c r="E12" i="1"/>
  <c r="A12" i="1"/>
  <c r="E4" i="1"/>
  <c r="A4" i="1"/>
  <c r="E26" i="1"/>
  <c r="A26" i="1"/>
  <c r="E7" i="1"/>
  <c r="A7" i="1"/>
  <c r="E21" i="1"/>
  <c r="A21" i="1"/>
  <c r="E17" i="1"/>
  <c r="A17" i="1"/>
  <c r="B21" i="16" l="1"/>
  <c r="B21" i="61"/>
  <c r="B21" i="58"/>
  <c r="B21" i="62"/>
  <c r="B21" i="66"/>
  <c r="B21" i="70"/>
  <c r="B21" i="74"/>
  <c r="B21" i="80"/>
  <c r="B21" i="84"/>
  <c r="B21" i="88"/>
  <c r="B21" i="92"/>
  <c r="B21" i="18"/>
  <c r="B21" i="3"/>
  <c r="B21" i="67"/>
  <c r="B21" i="71"/>
  <c r="B21" i="75"/>
  <c r="B21" i="81"/>
  <c r="B21" i="85"/>
  <c r="B21" i="89"/>
  <c r="B21" i="93"/>
  <c r="B21" i="17"/>
  <c r="B21" i="59"/>
  <c r="B21" i="63"/>
  <c r="B21" i="60"/>
  <c r="B21" i="64"/>
  <c r="B21" i="68"/>
  <c r="B21" i="72"/>
  <c r="B21" i="76"/>
  <c r="B21" i="82"/>
  <c r="B21" i="86"/>
  <c r="B21" i="90"/>
  <c r="B21" i="19"/>
  <c r="B21" i="65"/>
  <c r="B21" i="69"/>
  <c r="B21" i="73"/>
  <c r="B21" i="78"/>
  <c r="B21" i="83"/>
  <c r="B21" i="87"/>
  <c r="B21" i="91"/>
  <c r="B21" i="14"/>
  <c r="B18" i="16"/>
  <c r="B18" i="19"/>
  <c r="B18" i="17"/>
  <c r="B18" i="18"/>
  <c r="B18" i="14"/>
  <c r="B18" i="93"/>
  <c r="B18" i="92"/>
  <c r="B18" i="91"/>
  <c r="B18" i="90"/>
  <c r="B18" i="89"/>
  <c r="B18" i="88"/>
  <c r="B18" i="87"/>
  <c r="B18" i="86"/>
  <c r="B18" i="85"/>
  <c r="B18" i="84"/>
  <c r="B18" i="83"/>
  <c r="B18" i="82"/>
  <c r="B18" i="81"/>
  <c r="B18" i="80"/>
  <c r="B18" i="78"/>
  <c r="B18" i="76"/>
  <c r="B18" i="75"/>
  <c r="B18" i="74"/>
  <c r="B18" i="73"/>
  <c r="B18" i="72"/>
  <c r="B18" i="71"/>
  <c r="B18" i="70"/>
  <c r="B18" i="69"/>
  <c r="B18" i="68"/>
  <c r="B18" i="67"/>
  <c r="B18" i="66"/>
  <c r="B18" i="65"/>
  <c r="B18" i="64"/>
  <c r="B18" i="63"/>
  <c r="B18" i="62"/>
  <c r="B18" i="61"/>
  <c r="B18" i="60"/>
  <c r="B18" i="59"/>
  <c r="B18" i="58"/>
  <c r="B18" i="3"/>
  <c r="B8" i="16"/>
  <c r="B8" i="19"/>
  <c r="B8" i="17"/>
  <c r="B8" i="18"/>
  <c r="B8" i="14"/>
  <c r="B8" i="93"/>
  <c r="B8" i="92"/>
  <c r="B8" i="91"/>
  <c r="B8" i="90"/>
  <c r="B8" i="89"/>
  <c r="B8" i="88"/>
  <c r="B8" i="87"/>
  <c r="B8" i="86"/>
  <c r="B8" i="85"/>
  <c r="B8" i="84"/>
  <c r="B8" i="83"/>
  <c r="B8" i="82"/>
  <c r="B8" i="81"/>
  <c r="B8" i="80"/>
  <c r="B8" i="78"/>
  <c r="B8" i="76"/>
  <c r="B8" i="75"/>
  <c r="B8" i="74"/>
  <c r="B8" i="73"/>
  <c r="B8" i="72"/>
  <c r="B8" i="71"/>
  <c r="B8" i="70"/>
  <c r="B8" i="69"/>
  <c r="B8" i="68"/>
  <c r="B8" i="67"/>
  <c r="B8" i="66"/>
  <c r="B8" i="65"/>
  <c r="B8" i="64"/>
  <c r="B8" i="63"/>
  <c r="B8" i="62"/>
  <c r="B8" i="61"/>
  <c r="B8" i="60"/>
  <c r="B8" i="59"/>
  <c r="B8" i="58"/>
  <c r="B8" i="3"/>
  <c r="B10" i="16"/>
  <c r="B10" i="19"/>
  <c r="B10" i="17"/>
  <c r="B10" i="18"/>
  <c r="B10" i="14"/>
  <c r="B10" i="93"/>
  <c r="B10" i="92"/>
  <c r="B10" i="91"/>
  <c r="B10" i="90"/>
  <c r="B10" i="89"/>
  <c r="B10" i="88"/>
  <c r="B10" i="87"/>
  <c r="B10" i="86"/>
  <c r="B10" i="85"/>
  <c r="B10" i="84"/>
  <c r="B10" i="83"/>
  <c r="B10" i="82"/>
  <c r="B10" i="81"/>
  <c r="B10" i="80"/>
  <c r="B10" i="78"/>
  <c r="B10" i="76"/>
  <c r="B10" i="75"/>
  <c r="B10" i="74"/>
  <c r="B10" i="73"/>
  <c r="B10" i="72"/>
  <c r="B10" i="71"/>
  <c r="B10" i="70"/>
  <c r="B10" i="69"/>
  <c r="B10" i="68"/>
  <c r="B10" i="67"/>
  <c r="B10" i="66"/>
  <c r="B10" i="65"/>
  <c r="B10" i="64"/>
  <c r="B10" i="63"/>
  <c r="B10" i="62"/>
  <c r="B10" i="61"/>
  <c r="B10" i="60"/>
  <c r="B10" i="59"/>
  <c r="B10" i="58"/>
  <c r="B10" i="3"/>
  <c r="B14" i="16"/>
  <c r="B14" i="19"/>
  <c r="B14" i="17"/>
  <c r="B14" i="18"/>
  <c r="B14" i="14"/>
  <c r="B14" i="93"/>
  <c r="B14" i="92"/>
  <c r="B14" i="91"/>
  <c r="B14" i="90"/>
  <c r="B14" i="89"/>
  <c r="B14" i="88"/>
  <c r="B14" i="87"/>
  <c r="B14" i="86"/>
  <c r="B14" i="85"/>
  <c r="B14" i="84"/>
  <c r="B14" i="83"/>
  <c r="B14" i="82"/>
  <c r="B14" i="81"/>
  <c r="B14" i="80"/>
  <c r="B14" i="78"/>
  <c r="B14" i="76"/>
  <c r="B14" i="75"/>
  <c r="B14" i="74"/>
  <c r="B14" i="73"/>
  <c r="B14" i="72"/>
  <c r="B14" i="71"/>
  <c r="B14" i="70"/>
  <c r="B14" i="69"/>
  <c r="B14" i="68"/>
  <c r="B14" i="67"/>
  <c r="B14" i="66"/>
  <c r="B14" i="65"/>
  <c r="B14" i="64"/>
  <c r="B14" i="63"/>
  <c r="B14" i="62"/>
  <c r="B14" i="61"/>
  <c r="B14" i="60"/>
  <c r="B14" i="59"/>
  <c r="B14" i="58"/>
  <c r="B14" i="3"/>
  <c r="B27" i="16"/>
  <c r="B27" i="19"/>
  <c r="B27" i="17"/>
  <c r="B27" i="18"/>
  <c r="B27" i="14"/>
  <c r="B27" i="93"/>
  <c r="B27" i="92"/>
  <c r="B27" i="91"/>
  <c r="B27" i="90"/>
  <c r="B27" i="89"/>
  <c r="B27" i="88"/>
  <c r="B27" i="87"/>
  <c r="B27" i="85"/>
  <c r="B27" i="84"/>
  <c r="B27" i="83"/>
  <c r="B27" i="82"/>
  <c r="B27" i="81"/>
  <c r="B27" i="80"/>
  <c r="B27" i="78"/>
  <c r="B27" i="76"/>
  <c r="B27" i="75"/>
  <c r="B27" i="74"/>
  <c r="B27" i="73"/>
  <c r="B27" i="72"/>
  <c r="B27" i="71"/>
  <c r="B27" i="70"/>
  <c r="B27" i="69"/>
  <c r="B27" i="68"/>
  <c r="B27" i="67"/>
  <c r="B27" i="66"/>
  <c r="B27" i="65"/>
  <c r="B27" i="64"/>
  <c r="B27" i="63"/>
  <c r="B27" i="62"/>
  <c r="B27" i="61"/>
  <c r="B27" i="60"/>
  <c r="B27" i="59"/>
  <c r="B27" i="58"/>
  <c r="B27" i="3"/>
  <c r="B19" i="16"/>
  <c r="B19" i="19"/>
  <c r="B19" i="17"/>
  <c r="B19" i="18"/>
  <c r="B19" i="14"/>
  <c r="B19" i="93"/>
  <c r="B19" i="92"/>
  <c r="B19" i="91"/>
  <c r="B19" i="90"/>
  <c r="B19" i="89"/>
  <c r="B19" i="88"/>
  <c r="B19" i="87"/>
  <c r="B19" i="86"/>
  <c r="B19" i="85"/>
  <c r="B19" i="84"/>
  <c r="B19" i="83"/>
  <c r="B19" i="82"/>
  <c r="B19" i="81"/>
  <c r="B19" i="80"/>
  <c r="B19" i="78"/>
  <c r="B19" i="76"/>
  <c r="B19" i="75"/>
  <c r="B19" i="74"/>
  <c r="B19" i="73"/>
  <c r="B19" i="72"/>
  <c r="B19" i="71"/>
  <c r="B19" i="70"/>
  <c r="B19" i="69"/>
  <c r="B19" i="68"/>
  <c r="B19" i="67"/>
  <c r="B19" i="66"/>
  <c r="B19" i="65"/>
  <c r="B19" i="64"/>
  <c r="B19" i="63"/>
  <c r="B19" i="62"/>
  <c r="B19" i="61"/>
  <c r="B19" i="60"/>
  <c r="B19" i="59"/>
  <c r="B19" i="58"/>
  <c r="B19" i="3"/>
  <c r="B29" i="16"/>
  <c r="B29" i="19"/>
  <c r="B29" i="17"/>
  <c r="B29" i="18"/>
  <c r="B29" i="14"/>
  <c r="B29" i="93"/>
  <c r="B29" i="92"/>
  <c r="B29" i="91"/>
  <c r="B29" i="90"/>
  <c r="B29" i="89"/>
  <c r="B29" i="88"/>
  <c r="B29" i="87"/>
  <c r="B29" i="85"/>
  <c r="B29" i="84"/>
  <c r="B29" i="83"/>
  <c r="B29" i="82"/>
  <c r="B29" i="81"/>
  <c r="B29" i="80"/>
  <c r="B29" i="78"/>
  <c r="B29" i="76"/>
  <c r="B29" i="75"/>
  <c r="B29" i="74"/>
  <c r="B29" i="73"/>
  <c r="B29" i="72"/>
  <c r="B29" i="71"/>
  <c r="B29" i="70"/>
  <c r="B29" i="69"/>
  <c r="B29" i="68"/>
  <c r="B29" i="67"/>
  <c r="B29" i="66"/>
  <c r="B29" i="65"/>
  <c r="B29" i="64"/>
  <c r="B29" i="63"/>
  <c r="B29" i="62"/>
  <c r="B29" i="61"/>
  <c r="B29" i="60"/>
  <c r="B29" i="59"/>
  <c r="B29" i="58"/>
  <c r="B29" i="3"/>
  <c r="B15" i="16"/>
  <c r="B15" i="19"/>
  <c r="B15" i="17"/>
  <c r="B15" i="18"/>
  <c r="B15" i="14"/>
  <c r="B15" i="93"/>
  <c r="B15" i="92"/>
  <c r="B15" i="91"/>
  <c r="B15" i="90"/>
  <c r="B15" i="89"/>
  <c r="B15" i="88"/>
  <c r="B15" i="87"/>
  <c r="B15" i="86"/>
  <c r="B15" i="85"/>
  <c r="B15" i="84"/>
  <c r="B15" i="83"/>
  <c r="B15" i="82"/>
  <c r="B15" i="81"/>
  <c r="B15" i="80"/>
  <c r="B15" i="78"/>
  <c r="B15" i="76"/>
  <c r="B15" i="75"/>
  <c r="B15" i="74"/>
  <c r="B15" i="73"/>
  <c r="B15" i="72"/>
  <c r="B15" i="71"/>
  <c r="B15" i="70"/>
  <c r="B15" i="69"/>
  <c r="B15" i="68"/>
  <c r="B15" i="67"/>
  <c r="B15" i="66"/>
  <c r="B15" i="65"/>
  <c r="B15" i="64"/>
  <c r="B15" i="63"/>
  <c r="B15" i="62"/>
  <c r="B15" i="61"/>
  <c r="B15" i="60"/>
  <c r="B15" i="59"/>
  <c r="B15" i="58"/>
  <c r="B15" i="3"/>
  <c r="B4" i="16"/>
  <c r="B4" i="19"/>
  <c r="B4" i="17"/>
  <c r="B4" i="18"/>
  <c r="B4" i="14"/>
  <c r="B4" i="93"/>
  <c r="B4" i="92"/>
  <c r="B4" i="91"/>
  <c r="B4" i="90"/>
  <c r="B4" i="89"/>
  <c r="B4" i="88"/>
  <c r="B4" i="87"/>
  <c r="B4" i="86"/>
  <c r="B4" i="85"/>
  <c r="B4" i="84"/>
  <c r="B4" i="83"/>
  <c r="B4" i="82"/>
  <c r="B4" i="81"/>
  <c r="B4" i="80"/>
  <c r="B4" i="78"/>
  <c r="B4" i="76"/>
  <c r="B4" i="75"/>
  <c r="B4" i="74"/>
  <c r="B4" i="73"/>
  <c r="B4" i="72"/>
  <c r="B4" i="71"/>
  <c r="B4" i="70"/>
  <c r="B4" i="69"/>
  <c r="B4" i="68"/>
  <c r="B4" i="67"/>
  <c r="B4" i="66"/>
  <c r="B4" i="65"/>
  <c r="B4" i="64"/>
  <c r="B4" i="63"/>
  <c r="B4" i="62"/>
  <c r="B4" i="61"/>
  <c r="B4" i="60"/>
  <c r="B4" i="59"/>
  <c r="B4" i="58"/>
  <c r="B4" i="3"/>
  <c r="B26" i="16"/>
  <c r="B26" i="19"/>
  <c r="B26" i="17"/>
  <c r="B26" i="18"/>
  <c r="B26" i="14"/>
  <c r="B26" i="93"/>
  <c r="B26" i="92"/>
  <c r="B26" i="91"/>
  <c r="B26" i="90"/>
  <c r="B26" i="89"/>
  <c r="B26" i="88"/>
  <c r="B26" i="87"/>
  <c r="B26" i="85"/>
  <c r="B26" i="84"/>
  <c r="B26" i="83"/>
  <c r="B26" i="82"/>
  <c r="B26" i="81"/>
  <c r="B26" i="80"/>
  <c r="B26" i="78"/>
  <c r="B26" i="76"/>
  <c r="B26" i="75"/>
  <c r="B26" i="74"/>
  <c r="B26" i="73"/>
  <c r="B26" i="72"/>
  <c r="B26" i="71"/>
  <c r="B26" i="70"/>
  <c r="B26" i="69"/>
  <c r="B26" i="68"/>
  <c r="B26" i="67"/>
  <c r="B26" i="66"/>
  <c r="B26" i="65"/>
  <c r="B26" i="64"/>
  <c r="B26" i="63"/>
  <c r="B26" i="62"/>
  <c r="B26" i="61"/>
  <c r="B26" i="60"/>
  <c r="B26" i="59"/>
  <c r="B26" i="58"/>
  <c r="B26" i="3"/>
  <c r="B12" i="16"/>
  <c r="B12" i="19"/>
  <c r="B12" i="17"/>
  <c r="B12" i="18"/>
  <c r="B12" i="14"/>
  <c r="B12" i="93"/>
  <c r="B12" i="92"/>
  <c r="B12" i="91"/>
  <c r="B12" i="90"/>
  <c r="B12" i="89"/>
  <c r="B12" i="88"/>
  <c r="B12" i="87"/>
  <c r="B12" i="86"/>
  <c r="B12" i="85"/>
  <c r="B12" i="84"/>
  <c r="B12" i="83"/>
  <c r="B12" i="82"/>
  <c r="B12" i="81"/>
  <c r="B12" i="80"/>
  <c r="B12" i="78"/>
  <c r="B12" i="76"/>
  <c r="B12" i="75"/>
  <c r="B12" i="74"/>
  <c r="B12" i="73"/>
  <c r="B12" i="72"/>
  <c r="B12" i="71"/>
  <c r="B12" i="70"/>
  <c r="B12" i="69"/>
  <c r="B12" i="68"/>
  <c r="B12" i="67"/>
  <c r="B12" i="66"/>
  <c r="B12" i="65"/>
  <c r="B12" i="64"/>
  <c r="B12" i="63"/>
  <c r="B12" i="62"/>
  <c r="B12" i="61"/>
  <c r="B12" i="60"/>
  <c r="B12" i="59"/>
  <c r="B12" i="58"/>
  <c r="B12" i="3"/>
  <c r="B13" i="16"/>
  <c r="B13" i="19"/>
  <c r="B13" i="17"/>
  <c r="B13" i="18"/>
  <c r="B13" i="14"/>
  <c r="B13" i="93"/>
  <c r="B13" i="92"/>
  <c r="B13" i="91"/>
  <c r="B13" i="90"/>
  <c r="B13" i="89"/>
  <c r="B13" i="88"/>
  <c r="B13" i="87"/>
  <c r="B13" i="86"/>
  <c r="B13" i="85"/>
  <c r="B13" i="84"/>
  <c r="B13" i="83"/>
  <c r="B13" i="82"/>
  <c r="B13" i="81"/>
  <c r="B13" i="80"/>
  <c r="B13" i="78"/>
  <c r="B13" i="76"/>
  <c r="B13" i="75"/>
  <c r="B13" i="74"/>
  <c r="B13" i="73"/>
  <c r="B13" i="72"/>
  <c r="B13" i="71"/>
  <c r="B13" i="70"/>
  <c r="B13" i="69"/>
  <c r="B13" i="68"/>
  <c r="B13" i="67"/>
  <c r="B13" i="66"/>
  <c r="B13" i="65"/>
  <c r="B13" i="64"/>
  <c r="B13" i="63"/>
  <c r="B13" i="62"/>
  <c r="B13" i="61"/>
  <c r="B13" i="60"/>
  <c r="B13" i="59"/>
  <c r="B13" i="58"/>
  <c r="B13" i="3"/>
  <c r="B20" i="19"/>
  <c r="B20" i="18"/>
  <c r="B20" i="92"/>
  <c r="B20" i="90"/>
  <c r="B20" i="88"/>
  <c r="B20" i="86"/>
  <c r="B20" i="84"/>
  <c r="B20" i="82"/>
  <c r="B20" i="80"/>
  <c r="B20" i="76"/>
  <c r="B20" i="74"/>
  <c r="B20" i="72"/>
  <c r="B20" i="70"/>
  <c r="B20" i="68"/>
  <c r="B20" i="66"/>
  <c r="B20" i="64"/>
  <c r="B20" i="62"/>
  <c r="B20" i="60"/>
  <c r="B20" i="58"/>
  <c r="B20" i="16"/>
  <c r="B20" i="17"/>
  <c r="B20" i="14"/>
  <c r="B20" i="93"/>
  <c r="B20" i="91"/>
  <c r="B20" i="89"/>
  <c r="B20" i="87"/>
  <c r="B20" i="85"/>
  <c r="B20" i="83"/>
  <c r="B20" i="81"/>
  <c r="B20" i="78"/>
  <c r="B20" i="75"/>
  <c r="B20" i="73"/>
  <c r="B20" i="71"/>
  <c r="B20" i="69"/>
  <c r="B20" i="67"/>
  <c r="B20" i="65"/>
  <c r="B20" i="63"/>
  <c r="B20" i="61"/>
  <c r="B20" i="59"/>
  <c r="B20" i="3"/>
  <c r="B16" i="16"/>
  <c r="B16" i="19"/>
  <c r="B16" i="17"/>
  <c r="B16" i="18"/>
  <c r="B16" i="14"/>
  <c r="B16" i="93"/>
  <c r="B16" i="92"/>
  <c r="B16" i="91"/>
  <c r="B16" i="90"/>
  <c r="B16" i="89"/>
  <c r="B16" i="88"/>
  <c r="B16" i="87"/>
  <c r="B16" i="86"/>
  <c r="B16" i="85"/>
  <c r="B16" i="84"/>
  <c r="B16" i="83"/>
  <c r="B16" i="82"/>
  <c r="B16" i="81"/>
  <c r="B16" i="80"/>
  <c r="B16" i="78"/>
  <c r="B16" i="76"/>
  <c r="B16" i="75"/>
  <c r="B16" i="74"/>
  <c r="B16" i="73"/>
  <c r="B16" i="72"/>
  <c r="B16" i="71"/>
  <c r="B16" i="70"/>
  <c r="B16" i="69"/>
  <c r="B16" i="68"/>
  <c r="B16" i="67"/>
  <c r="B16" i="66"/>
  <c r="B16" i="65"/>
  <c r="B16" i="64"/>
  <c r="B16" i="63"/>
  <c r="B16" i="62"/>
  <c r="B16" i="61"/>
  <c r="B16" i="60"/>
  <c r="B16" i="59"/>
  <c r="B16" i="58"/>
  <c r="B16" i="3"/>
  <c r="B11" i="19"/>
  <c r="B11" i="18"/>
  <c r="B11" i="92"/>
  <c r="B11" i="90"/>
  <c r="B11" i="88"/>
  <c r="B11" i="86"/>
  <c r="B11" i="84"/>
  <c r="B11" i="82"/>
  <c r="B11" i="80"/>
  <c r="B11" i="76"/>
  <c r="B11" i="74"/>
  <c r="B11" i="72"/>
  <c r="B11" i="70"/>
  <c r="B11" i="68"/>
  <c r="B11" i="66"/>
  <c r="B11" i="64"/>
  <c r="B11" i="60"/>
  <c r="B11" i="16"/>
  <c r="B11" i="17"/>
  <c r="B11" i="14"/>
  <c r="B11" i="93"/>
  <c r="B11" i="91"/>
  <c r="B11" i="89"/>
  <c r="B11" i="87"/>
  <c r="B11" i="85"/>
  <c r="B11" i="83"/>
  <c r="B11" i="81"/>
  <c r="B11" i="78"/>
  <c r="B11" i="75"/>
  <c r="B11" i="73"/>
  <c r="B11" i="71"/>
  <c r="B11" i="69"/>
  <c r="B11" i="67"/>
  <c r="B11" i="65"/>
  <c r="B11" i="63"/>
  <c r="B11" i="61"/>
  <c r="B11" i="59"/>
  <c r="B11" i="3"/>
  <c r="B11" i="62"/>
  <c r="B11" i="58"/>
  <c r="B28" i="16"/>
  <c r="B28" i="19"/>
  <c r="B28" i="18"/>
  <c r="B28" i="14"/>
  <c r="B28" i="92"/>
  <c r="B28" i="90"/>
  <c r="B28" i="87"/>
  <c r="B28" i="84"/>
  <c r="B28" i="82"/>
  <c r="B28" i="80"/>
  <c r="B28" i="76"/>
  <c r="B28" i="73"/>
  <c r="B28" i="70"/>
  <c r="B28" i="67"/>
  <c r="B28" i="66"/>
  <c r="B28" i="62"/>
  <c r="B28" i="61"/>
  <c r="B28" i="3"/>
  <c r="B28" i="17"/>
  <c r="B28" i="93"/>
  <c r="B28" i="91"/>
  <c r="B28" i="89"/>
  <c r="B28" i="88"/>
  <c r="B28" i="85"/>
  <c r="B28" i="83"/>
  <c r="B28" i="81"/>
  <c r="B28" i="78"/>
  <c r="B28" i="75"/>
  <c r="B28" i="74"/>
  <c r="B28" i="72"/>
  <c r="B28" i="71"/>
  <c r="B28" i="69"/>
  <c r="B28" i="68"/>
  <c r="B28" i="65"/>
  <c r="B28" i="64"/>
  <c r="B28" i="63"/>
  <c r="B28" i="60"/>
  <c r="B28" i="59"/>
  <c r="B28" i="58"/>
  <c r="E30" i="1"/>
  <c r="B24" i="16"/>
  <c r="B24" i="19"/>
  <c r="B24" i="17"/>
  <c r="B24" i="18"/>
  <c r="B24" i="14"/>
  <c r="B24" i="93"/>
  <c r="B24" i="92"/>
  <c r="B24" i="91"/>
  <c r="B24" i="90"/>
  <c r="B24" i="89"/>
  <c r="B24" i="88"/>
  <c r="B24" i="87"/>
  <c r="B24" i="85"/>
  <c r="B24" i="84"/>
  <c r="B24" i="83"/>
  <c r="B24" i="82"/>
  <c r="B24" i="81"/>
  <c r="B24" i="80"/>
  <c r="B24" i="78"/>
  <c r="B24" i="76"/>
  <c r="B24" i="75"/>
  <c r="B24" i="74"/>
  <c r="B24" i="73"/>
  <c r="B24" i="72"/>
  <c r="B24" i="71"/>
  <c r="B24" i="70"/>
  <c r="B24" i="69"/>
  <c r="B24" i="68"/>
  <c r="B24" i="67"/>
  <c r="B24" i="66"/>
  <c r="B24" i="65"/>
  <c r="B24" i="64"/>
  <c r="B24" i="63"/>
  <c r="B24" i="62"/>
  <c r="B24" i="61"/>
  <c r="B24" i="60"/>
  <c r="B24" i="59"/>
  <c r="B24" i="58"/>
  <c r="B24" i="3"/>
  <c r="B25" i="16"/>
  <c r="B25" i="19"/>
  <c r="B25" i="17"/>
  <c r="B25" i="18"/>
  <c r="B25" i="14"/>
  <c r="B25" i="93"/>
  <c r="B25" i="92"/>
  <c r="B25" i="91"/>
  <c r="B25" i="90"/>
  <c r="B25" i="89"/>
  <c r="B25" i="88"/>
  <c r="B25" i="87"/>
  <c r="B25" i="85"/>
  <c r="B25" i="84"/>
  <c r="B25" i="83"/>
  <c r="B25" i="82"/>
  <c r="B25" i="81"/>
  <c r="B25" i="80"/>
  <c r="B25" i="78"/>
  <c r="B25" i="76"/>
  <c r="B25" i="75"/>
  <c r="B25" i="74"/>
  <c r="B25" i="73"/>
  <c r="B25" i="72"/>
  <c r="B25" i="71"/>
  <c r="B25" i="70"/>
  <c r="B25" i="69"/>
  <c r="B25" i="68"/>
  <c r="B25" i="67"/>
  <c r="B25" i="66"/>
  <c r="B25" i="65"/>
  <c r="B25" i="64"/>
  <c r="B25" i="63"/>
  <c r="B25" i="62"/>
  <c r="B25" i="61"/>
  <c r="B25" i="60"/>
  <c r="B25" i="59"/>
  <c r="B25" i="58"/>
  <c r="B25" i="3"/>
  <c r="B6" i="16"/>
  <c r="B6" i="19"/>
  <c r="B6" i="17"/>
  <c r="B6" i="18"/>
  <c r="B6" i="14"/>
  <c r="B6" i="93"/>
  <c r="B6" i="92"/>
  <c r="B6" i="91"/>
  <c r="B6" i="90"/>
  <c r="B6" i="89"/>
  <c r="B6" i="88"/>
  <c r="B6" i="87"/>
  <c r="B6" i="86"/>
  <c r="B6" i="85"/>
  <c r="B6" i="84"/>
  <c r="B6" i="83"/>
  <c r="B6" i="82"/>
  <c r="B6" i="81"/>
  <c r="B6" i="80"/>
  <c r="B6" i="78"/>
  <c r="B6" i="76"/>
  <c r="B6" i="75"/>
  <c r="B6" i="74"/>
  <c r="B6" i="73"/>
  <c r="B6" i="72"/>
  <c r="B6" i="71"/>
  <c r="B6" i="70"/>
  <c r="B6" i="69"/>
  <c r="B6" i="68"/>
  <c r="B6" i="67"/>
  <c r="B6" i="66"/>
  <c r="B6" i="65"/>
  <c r="B6" i="64"/>
  <c r="B6" i="63"/>
  <c r="B6" i="62"/>
  <c r="B6" i="61"/>
  <c r="B6" i="59"/>
  <c r="B6" i="3"/>
  <c r="B6" i="60"/>
  <c r="B6" i="58"/>
  <c r="B7" i="16"/>
  <c r="B7" i="19"/>
  <c r="B7" i="17"/>
  <c r="B7" i="18"/>
  <c r="B7" i="14"/>
  <c r="B7" i="93"/>
  <c r="B7" i="92"/>
  <c r="B7" i="91"/>
  <c r="B7" i="90"/>
  <c r="B7" i="89"/>
  <c r="B7" i="88"/>
  <c r="B7" i="87"/>
  <c r="B7" i="86"/>
  <c r="B7" i="85"/>
  <c r="B7" i="84"/>
  <c r="B7" i="83"/>
  <c r="B7" i="82"/>
  <c r="B7" i="81"/>
  <c r="B7" i="80"/>
  <c r="B7" i="78"/>
  <c r="B7" i="76"/>
  <c r="B7" i="75"/>
  <c r="B7" i="74"/>
  <c r="B7" i="73"/>
  <c r="B7" i="72"/>
  <c r="B7" i="71"/>
  <c r="B7" i="70"/>
  <c r="B7" i="69"/>
  <c r="B7" i="68"/>
  <c r="B7" i="67"/>
  <c r="B7" i="66"/>
  <c r="B7" i="65"/>
  <c r="B7" i="64"/>
  <c r="B7" i="63"/>
  <c r="B7" i="62"/>
  <c r="B7" i="61"/>
  <c r="B7" i="60"/>
  <c r="B7" i="59"/>
  <c r="B7" i="58"/>
  <c r="B7" i="3"/>
  <c r="B22" i="16"/>
  <c r="B22" i="19"/>
  <c r="B22" i="17"/>
  <c r="B22" i="18"/>
  <c r="B22" i="14"/>
  <c r="B22" i="93"/>
  <c r="B22" i="92"/>
  <c r="B22" i="91"/>
  <c r="B22" i="90"/>
  <c r="B22" i="89"/>
  <c r="B22" i="88"/>
  <c r="B22" i="87"/>
  <c r="B22" i="86"/>
  <c r="B22" i="85"/>
  <c r="B22" i="84"/>
  <c r="B22" i="83"/>
  <c r="B22" i="82"/>
  <c r="B22" i="81"/>
  <c r="B22" i="80"/>
  <c r="B22" i="78"/>
  <c r="B22" i="76"/>
  <c r="B22" i="75"/>
  <c r="B22" i="74"/>
  <c r="B22" i="73"/>
  <c r="B22" i="72"/>
  <c r="B22" i="71"/>
  <c r="B22" i="70"/>
  <c r="B22" i="69"/>
  <c r="B22" i="68"/>
  <c r="B22" i="67"/>
  <c r="B22" i="66"/>
  <c r="B22" i="65"/>
  <c r="B22" i="64"/>
  <c r="B22" i="63"/>
  <c r="B22" i="62"/>
  <c r="B22" i="61"/>
  <c r="B22" i="60"/>
  <c r="B22" i="58"/>
  <c r="B22" i="59"/>
  <c r="B22" i="3"/>
  <c r="B23" i="16"/>
  <c r="B23" i="19"/>
  <c r="B23" i="17"/>
  <c r="B23" i="18"/>
  <c r="B23" i="14"/>
  <c r="B23" i="93"/>
  <c r="B23" i="92"/>
  <c r="B23" i="91"/>
  <c r="B23" i="90"/>
  <c r="B23" i="89"/>
  <c r="B23" i="88"/>
  <c r="B23" i="87"/>
  <c r="B23" i="85"/>
  <c r="B23" i="84"/>
  <c r="B23" i="83"/>
  <c r="B23" i="82"/>
  <c r="B23" i="81"/>
  <c r="B23" i="80"/>
  <c r="B23" i="78"/>
  <c r="B23" i="76"/>
  <c r="B23" i="75"/>
  <c r="B23" i="74"/>
  <c r="B23" i="73"/>
  <c r="B23" i="72"/>
  <c r="B23" i="71"/>
  <c r="B23" i="70"/>
  <c r="B23" i="69"/>
  <c r="B23" i="68"/>
  <c r="B23" i="67"/>
  <c r="B23" i="66"/>
  <c r="B23" i="65"/>
  <c r="B23" i="64"/>
  <c r="B23" i="63"/>
  <c r="B23" i="62"/>
  <c r="B23" i="61"/>
  <c r="B23" i="60"/>
  <c r="B23" i="59"/>
  <c r="B23" i="58"/>
  <c r="B23" i="3"/>
  <c r="B17" i="73"/>
  <c r="B17" i="62"/>
  <c r="B17" i="59"/>
  <c r="B17" i="3"/>
  <c r="B17" i="16"/>
  <c r="B17" i="19"/>
  <c r="B17" i="17"/>
  <c r="B17" i="18"/>
  <c r="B17" i="14"/>
  <c r="B17" i="93"/>
  <c r="B17" i="92"/>
  <c r="B17" i="91"/>
  <c r="B17" i="90"/>
  <c r="B17" i="89"/>
  <c r="B17" i="88"/>
  <c r="B17" i="87"/>
  <c r="B17" i="86"/>
  <c r="B17" i="85"/>
  <c r="B17" i="84"/>
  <c r="B17" i="83"/>
  <c r="B17" i="82"/>
  <c r="B17" i="81"/>
  <c r="B17" i="80"/>
  <c r="B17" i="78"/>
  <c r="B17" i="76"/>
  <c r="B17" i="75"/>
  <c r="B17" i="74"/>
  <c r="B17" i="72"/>
  <c r="B17" i="71"/>
  <c r="B17" i="70"/>
  <c r="B17" i="69"/>
  <c r="B17" i="68"/>
  <c r="B17" i="67"/>
  <c r="B17" i="66"/>
  <c r="B17" i="65"/>
  <c r="B17" i="64"/>
  <c r="B17" i="63"/>
  <c r="B17" i="61"/>
  <c r="B17" i="60"/>
  <c r="B17" i="58"/>
  <c r="B9" i="16"/>
  <c r="B9" i="17"/>
  <c r="B9" i="14"/>
  <c r="B9" i="93"/>
  <c r="B9" i="91"/>
  <c r="B9" i="89"/>
  <c r="B9" i="87"/>
  <c r="B9" i="85"/>
  <c r="B9" i="83"/>
  <c r="B9" i="81"/>
  <c r="B9" i="78"/>
  <c r="B9" i="75"/>
  <c r="B9" i="73"/>
  <c r="B9" i="71"/>
  <c r="B9" i="69"/>
  <c r="B9" i="67"/>
  <c r="B9" i="65"/>
  <c r="B9" i="63"/>
  <c r="B9" i="59"/>
  <c r="B9" i="19"/>
  <c r="B9" i="18"/>
  <c r="B9" i="92"/>
  <c r="B9" i="90"/>
  <c r="B9" i="88"/>
  <c r="B9" i="86"/>
  <c r="B9" i="84"/>
  <c r="B9" i="82"/>
  <c r="B9" i="80"/>
  <c r="B9" i="76"/>
  <c r="B9" i="74"/>
  <c r="B9" i="72"/>
  <c r="B9" i="70"/>
  <c r="B9" i="68"/>
  <c r="B9" i="66"/>
  <c r="B9" i="64"/>
  <c r="B9" i="62"/>
  <c r="B9" i="60"/>
  <c r="B9" i="58"/>
  <c r="B9" i="61"/>
  <c r="B9" i="3"/>
  <c r="B5" i="71"/>
  <c r="B5" i="60"/>
  <c r="B5" i="58"/>
  <c r="B5" i="16"/>
  <c r="B5" i="19"/>
  <c r="B5" i="17"/>
  <c r="B5" i="18"/>
  <c r="B5" i="14"/>
  <c r="B5" i="93"/>
  <c r="B5" i="92"/>
  <c r="B5" i="91"/>
  <c r="B5" i="90"/>
  <c r="B5" i="89"/>
  <c r="B5" i="88"/>
  <c r="B5" i="87"/>
  <c r="B5" i="86"/>
  <c r="B5" i="85"/>
  <c r="B5" i="84"/>
  <c r="B5" i="83"/>
  <c r="B5" i="82"/>
  <c r="B5" i="81"/>
  <c r="B5" i="80"/>
  <c r="B5" i="78"/>
  <c r="B5" i="76"/>
  <c r="B5" i="75"/>
  <c r="B5" i="74"/>
  <c r="B5" i="73"/>
  <c r="B5" i="72"/>
  <c r="B5" i="70"/>
  <c r="B5" i="69"/>
  <c r="B5" i="68"/>
  <c r="B5" i="67"/>
  <c r="B5" i="66"/>
  <c r="B5" i="65"/>
  <c r="B5" i="64"/>
  <c r="B5" i="63"/>
  <c r="B5" i="62"/>
  <c r="B5" i="61"/>
  <c r="B5" i="59"/>
  <c r="B5" i="3"/>
  <c r="B3" i="16"/>
  <c r="B3" i="17"/>
  <c r="B3" i="14"/>
  <c r="A3" i="14" s="1"/>
  <c r="B3" i="93"/>
  <c r="A3" i="93" s="1"/>
  <c r="B3" i="91"/>
  <c r="A5" i="91" s="1"/>
  <c r="B3" i="89"/>
  <c r="A3" i="89" s="1"/>
  <c r="B3" i="87"/>
  <c r="B3" i="85"/>
  <c r="B3" i="83"/>
  <c r="B3" i="81"/>
  <c r="B3" i="78"/>
  <c r="B3" i="75"/>
  <c r="B3" i="73"/>
  <c r="B3" i="71"/>
  <c r="B3" i="69"/>
  <c r="B3" i="67"/>
  <c r="B3" i="65"/>
  <c r="B3" i="63"/>
  <c r="B3" i="61"/>
  <c r="B3" i="3"/>
  <c r="A3" i="3" s="1"/>
  <c r="B3" i="19"/>
  <c r="A3" i="19" s="1"/>
  <c r="B3" i="18"/>
  <c r="A3" i="18" s="1"/>
  <c r="B3" i="92"/>
  <c r="B3" i="90"/>
  <c r="A4" i="90" s="1"/>
  <c r="B3" i="88"/>
  <c r="B3" i="86"/>
  <c r="B3" i="84"/>
  <c r="B3" i="82"/>
  <c r="B3" i="80"/>
  <c r="B3" i="76"/>
  <c r="B3" i="74"/>
  <c r="B3" i="72"/>
  <c r="B3" i="70"/>
  <c r="B3" i="68"/>
  <c r="B3" i="66"/>
  <c r="B3" i="64"/>
  <c r="B3" i="62"/>
  <c r="B3" i="60"/>
  <c r="B3" i="58"/>
  <c r="B3" i="59"/>
  <c r="B31" i="3"/>
  <c r="G2" i="27" s="1"/>
  <c r="A2" i="27" s="1"/>
  <c r="C2" i="27"/>
  <c r="A3" i="92"/>
  <c r="A5" i="92"/>
  <c r="A4" i="92"/>
  <c r="A7" i="92"/>
  <c r="A4" i="89"/>
  <c r="A3" i="91"/>
  <c r="A5" i="93"/>
  <c r="A4" i="93"/>
  <c r="A3" i="17"/>
  <c r="A3" i="16"/>
  <c r="A6" i="89" l="1"/>
  <c r="A5" i="89"/>
  <c r="A6" i="93"/>
  <c r="A9" i="92"/>
  <c r="A7" i="89"/>
  <c r="A14" i="92"/>
  <c r="A8" i="93"/>
  <c r="A13" i="93"/>
  <c r="A12" i="91"/>
  <c r="A12" i="89"/>
  <c r="A8" i="92"/>
  <c r="A3" i="90"/>
  <c r="A10" i="91"/>
  <c r="A4" i="91"/>
  <c r="A7" i="91"/>
  <c r="A22" i="93"/>
  <c r="A14" i="89"/>
  <c r="A13" i="91"/>
  <c r="A7" i="93"/>
  <c r="A6" i="92"/>
  <c r="A9" i="91"/>
  <c r="A11" i="91"/>
  <c r="A13" i="89"/>
  <c r="A10" i="89"/>
  <c r="A11" i="89"/>
  <c r="A8" i="89"/>
  <c r="A15" i="92"/>
  <c r="A16" i="92"/>
  <c r="A13" i="90"/>
  <c r="A22" i="92"/>
  <c r="A17" i="91"/>
  <c r="A10" i="93"/>
  <c r="A9" i="90"/>
  <c r="A14" i="93"/>
  <c r="A26" i="89"/>
  <c r="A15" i="89"/>
  <c r="A23" i="93"/>
  <c r="A16" i="93"/>
  <c r="A23" i="92"/>
  <c r="A26" i="92"/>
  <c r="A28" i="90"/>
  <c r="A27" i="91"/>
  <c r="A18" i="90"/>
  <c r="A21" i="93"/>
  <c r="A25" i="91"/>
  <c r="A18" i="91"/>
  <c r="A20" i="91"/>
  <c r="A29" i="89"/>
  <c r="A20" i="89"/>
  <c r="A17" i="92"/>
  <c r="A19" i="90"/>
  <c r="A12" i="90"/>
  <c r="A25" i="90"/>
  <c r="A27" i="90"/>
  <c r="A17" i="93"/>
  <c r="A27" i="92"/>
  <c r="A12" i="93"/>
  <c r="A14" i="90"/>
  <c r="A26" i="93"/>
  <c r="A16" i="91"/>
  <c r="A23" i="90"/>
  <c r="A23" i="91"/>
  <c r="A20" i="93"/>
  <c r="A28" i="93"/>
  <c r="A25" i="93"/>
  <c r="A8" i="91"/>
  <c r="A22" i="91"/>
  <c r="A24" i="91"/>
  <c r="A15" i="91"/>
  <c r="A10" i="92"/>
  <c r="A18" i="92"/>
  <c r="A15" i="90"/>
  <c r="A11" i="92"/>
  <c r="A21" i="90"/>
  <c r="A29" i="90"/>
  <c r="A16" i="89"/>
  <c r="A6" i="90"/>
  <c r="A6" i="91"/>
  <c r="A13" i="92"/>
  <c r="A19" i="89"/>
  <c r="A15" i="93"/>
  <c r="A24" i="93"/>
  <c r="A29" i="93"/>
  <c r="A26" i="91"/>
  <c r="A19" i="91"/>
  <c r="A28" i="91"/>
  <c r="A21" i="89"/>
  <c r="A18" i="89"/>
  <c r="A23" i="89"/>
  <c r="A28" i="89"/>
  <c r="A24" i="92"/>
  <c r="A25" i="92"/>
  <c r="A11" i="90"/>
  <c r="A20" i="90"/>
  <c r="A17" i="90"/>
  <c r="A26" i="90"/>
  <c r="A10" i="90"/>
  <c r="A27" i="93"/>
  <c r="A19" i="93"/>
  <c r="A11" i="93"/>
  <c r="A9" i="93"/>
  <c r="A18" i="93"/>
  <c r="A29" i="91"/>
  <c r="A21" i="91"/>
  <c r="A14" i="91"/>
  <c r="A25" i="89"/>
  <c r="A17" i="89"/>
  <c r="A22" i="89"/>
  <c r="A27" i="89"/>
  <c r="A9" i="89"/>
  <c r="A24" i="89"/>
  <c r="A28" i="92"/>
  <c r="A19" i="92"/>
  <c r="A20" i="92"/>
  <c r="A12" i="92"/>
  <c r="A29" i="92"/>
  <c r="A21" i="92"/>
  <c r="A7" i="90"/>
  <c r="A24" i="90"/>
  <c r="A16" i="90"/>
  <c r="A8" i="90"/>
  <c r="A5" i="90"/>
  <c r="A22" i="90"/>
  <c r="A4" i="60"/>
  <c r="A4" i="64"/>
  <c r="A4" i="68"/>
  <c r="A4" i="70"/>
  <c r="A4" i="72"/>
  <c r="A4" i="66"/>
  <c r="A4" i="85"/>
  <c r="A4" i="87"/>
  <c r="A4" i="18"/>
  <c r="A22" i="59"/>
  <c r="A22" i="63"/>
  <c r="A22" i="74"/>
  <c r="A22" i="76"/>
  <c r="A22" i="80"/>
  <c r="A22" i="82"/>
  <c r="A3" i="58"/>
  <c r="A29" i="58"/>
  <c r="A3" i="62"/>
  <c r="A29" i="62"/>
  <c r="A29" i="65"/>
  <c r="A3" i="65"/>
  <c r="A29" i="61"/>
  <c r="A3" i="61"/>
  <c r="A3" i="73"/>
  <c r="A29" i="73"/>
  <c r="A3" i="75"/>
  <c r="A29" i="75"/>
  <c r="A3" i="67"/>
  <c r="A29" i="67"/>
  <c r="A3" i="69"/>
  <c r="A29" i="69"/>
  <c r="A3" i="71"/>
  <c r="A29" i="71"/>
  <c r="A29" i="78"/>
  <c r="A3" i="78"/>
  <c r="A3" i="81"/>
  <c r="A29" i="81"/>
  <c r="A3" i="83"/>
  <c r="A29" i="83"/>
  <c r="A3" i="84"/>
  <c r="A29" i="84"/>
  <c r="A3" i="86"/>
  <c r="A3" i="88"/>
  <c r="A29" i="88"/>
  <c r="A4" i="58"/>
  <c r="A4" i="62"/>
  <c r="A4" i="75"/>
  <c r="A4" i="78"/>
  <c r="A4" i="81"/>
  <c r="A4" i="83"/>
  <c r="A22" i="58"/>
  <c r="A22" i="61"/>
  <c r="A22" i="67"/>
  <c r="A22" i="69"/>
  <c r="A22" i="71"/>
  <c r="A22" i="73"/>
  <c r="A22" i="84"/>
  <c r="A22" i="86"/>
  <c r="A22" i="88"/>
  <c r="A24" i="59"/>
  <c r="A24" i="60"/>
  <c r="A24" i="62"/>
  <c r="A24" i="65"/>
  <c r="A24" i="68"/>
  <c r="A24" i="70"/>
  <c r="A24" i="72"/>
  <c r="A24" i="66"/>
  <c r="A24" i="75"/>
  <c r="A24" i="78"/>
  <c r="A24" i="81"/>
  <c r="A24" i="83"/>
  <c r="A24" i="85"/>
  <c r="A24" i="87"/>
  <c r="A26" i="59"/>
  <c r="A26" i="58"/>
  <c r="A26" i="61"/>
  <c r="A26" i="63"/>
  <c r="A26" i="67"/>
  <c r="A26" i="69"/>
  <c r="A26" i="71"/>
  <c r="A26" i="73"/>
  <c r="A26" i="74"/>
  <c r="A26" i="76"/>
  <c r="A26" i="80"/>
  <c r="A26" i="82"/>
  <c r="A26" i="84"/>
  <c r="A26" i="88"/>
  <c r="A28" i="59"/>
  <c r="A28" i="60"/>
  <c r="A28" i="62"/>
  <c r="A28" i="65"/>
  <c r="A28" i="68"/>
  <c r="A28" i="70"/>
  <c r="A28" i="72"/>
  <c r="A28" i="66"/>
  <c r="A28" i="75"/>
  <c r="A28" i="78"/>
  <c r="A28" i="81"/>
  <c r="A28" i="83"/>
  <c r="A28" i="85"/>
  <c r="A28" i="87"/>
  <c r="A5" i="62"/>
  <c r="A5" i="65"/>
  <c r="A5" i="60"/>
  <c r="A5" i="59"/>
  <c r="A5" i="73"/>
  <c r="A5" i="66"/>
  <c r="A5" i="68"/>
  <c r="A5" i="70"/>
  <c r="A5" i="72"/>
  <c r="A5" i="80"/>
  <c r="A5" i="82"/>
  <c r="A5" i="75"/>
  <c r="A5" i="83"/>
  <c r="A5" i="86"/>
  <c r="A5" i="88"/>
  <c r="A6" i="65"/>
  <c r="A6" i="59"/>
  <c r="A6" i="61"/>
  <c r="A6" i="63"/>
  <c r="A6" i="68"/>
  <c r="A6" i="70"/>
  <c r="A6" i="72"/>
  <c r="A6" i="66"/>
  <c r="A6" i="75"/>
  <c r="A6" i="78"/>
  <c r="A6" i="81"/>
  <c r="A6" i="83"/>
  <c r="A6" i="85"/>
  <c r="A6" i="87"/>
  <c r="A7" i="60"/>
  <c r="A7" i="62"/>
  <c r="A7" i="65"/>
  <c r="A7" i="59"/>
  <c r="A7" i="73"/>
  <c r="A7" i="66"/>
  <c r="A7" i="68"/>
  <c r="A7" i="70"/>
  <c r="A7" i="72"/>
  <c r="A7" i="80"/>
  <c r="A7" i="82"/>
  <c r="A7" i="75"/>
  <c r="A7" i="84"/>
  <c r="A7" i="86"/>
  <c r="A7" i="88"/>
  <c r="A8" i="58"/>
  <c r="A8" i="60"/>
  <c r="A8" i="62"/>
  <c r="A8" i="65"/>
  <c r="A8" i="68"/>
  <c r="A8" i="70"/>
  <c r="A8" i="72"/>
  <c r="A8" i="66"/>
  <c r="A8" i="75"/>
  <c r="A8" i="78"/>
  <c r="A8" i="81"/>
  <c r="A8" i="83"/>
  <c r="A8" i="85"/>
  <c r="A8" i="87"/>
  <c r="A9" i="58"/>
  <c r="A9" i="62"/>
  <c r="A9" i="60"/>
  <c r="A9" i="64"/>
  <c r="A9" i="73"/>
  <c r="A9" i="66"/>
  <c r="A9" i="68"/>
  <c r="A9" i="70"/>
  <c r="A9" i="72"/>
  <c r="A9" i="80"/>
  <c r="A9" i="82"/>
  <c r="A9" i="76"/>
  <c r="A9" i="84"/>
  <c r="A9" i="86"/>
  <c r="A9" i="88"/>
  <c r="A10" i="58"/>
  <c r="A10" i="60"/>
  <c r="A10" i="62"/>
  <c r="A10" i="65"/>
  <c r="A10" i="68"/>
  <c r="A10" i="70"/>
  <c r="A10" i="72"/>
  <c r="A10" i="66"/>
  <c r="A10" i="75"/>
  <c r="A10" i="78"/>
  <c r="A10" i="81"/>
  <c r="A10" i="83"/>
  <c r="A10" i="85"/>
  <c r="A10" i="87"/>
  <c r="A11" i="60"/>
  <c r="A11" i="62"/>
  <c r="A11" i="58"/>
  <c r="A11" i="64"/>
  <c r="A11" i="73"/>
  <c r="A11" i="66"/>
  <c r="A11" i="68"/>
  <c r="A11" i="70"/>
  <c r="A11" i="72"/>
  <c r="A11" i="80"/>
  <c r="A11" i="82"/>
  <c r="A11" i="75"/>
  <c r="A11" i="84"/>
  <c r="A11" i="86"/>
  <c r="A11" i="88"/>
  <c r="A12" i="59"/>
  <c r="A12" i="60"/>
  <c r="A12" i="62"/>
  <c r="A12" i="65"/>
  <c r="A12" i="68"/>
  <c r="A12" i="70"/>
  <c r="A12" i="72"/>
  <c r="A12" i="66"/>
  <c r="A12" i="75"/>
  <c r="A12" i="78"/>
  <c r="A12" i="81"/>
  <c r="A12" i="83"/>
  <c r="A12" i="85"/>
  <c r="A12" i="87"/>
  <c r="A13" i="58"/>
  <c r="A13" i="62"/>
  <c r="A13" i="60"/>
  <c r="A13" i="64"/>
  <c r="A3" i="60"/>
  <c r="A29" i="60"/>
  <c r="A3" i="63"/>
  <c r="A29" i="63"/>
  <c r="A29" i="59"/>
  <c r="A3" i="59"/>
  <c r="A29" i="64"/>
  <c r="A3" i="64"/>
  <c r="A3" i="74"/>
  <c r="A29" i="74"/>
  <c r="A3" i="66"/>
  <c r="A29" i="66"/>
  <c r="A3" i="68"/>
  <c r="A29" i="68"/>
  <c r="A3" i="70"/>
  <c r="A29" i="70"/>
  <c r="A3" i="72"/>
  <c r="A29" i="72"/>
  <c r="A3" i="80"/>
  <c r="A29" i="80"/>
  <c r="A3" i="82"/>
  <c r="A29" i="82"/>
  <c r="A3" i="76"/>
  <c r="A29" i="76"/>
  <c r="A29" i="85"/>
  <c r="A3" i="85"/>
  <c r="A3" i="87"/>
  <c r="A29" i="87"/>
  <c r="A4" i="65"/>
  <c r="A4" i="59"/>
  <c r="A4" i="61"/>
  <c r="A4" i="63"/>
  <c r="A4" i="67"/>
  <c r="A4" i="69"/>
  <c r="A4" i="71"/>
  <c r="A4" i="73"/>
  <c r="A4" i="74"/>
  <c r="A4" i="76"/>
  <c r="A4" i="80"/>
  <c r="A4" i="82"/>
  <c r="A4" i="84"/>
  <c r="A4" i="86"/>
  <c r="A4" i="88"/>
  <c r="A22" i="64"/>
  <c r="A22" i="60"/>
  <c r="A22" i="62"/>
  <c r="A22" i="65"/>
  <c r="A22" i="68"/>
  <c r="A22" i="70"/>
  <c r="A22" i="72"/>
  <c r="A22" i="66"/>
  <c r="A22" i="75"/>
  <c r="A22" i="78"/>
  <c r="A22" i="81"/>
  <c r="A22" i="83"/>
  <c r="A22" i="85"/>
  <c r="A22" i="87"/>
  <c r="A24" i="64"/>
  <c r="A24" i="58"/>
  <c r="A24" i="61"/>
  <c r="A24" i="63"/>
  <c r="A24" i="67"/>
  <c r="A24" i="69"/>
  <c r="A24" i="71"/>
  <c r="A24" i="73"/>
  <c r="A24" i="74"/>
  <c r="A24" i="76"/>
  <c r="A24" i="80"/>
  <c r="A24" i="82"/>
  <c r="A24" i="84"/>
  <c r="A24" i="88"/>
  <c r="A26" i="64"/>
  <c r="A26" i="60"/>
  <c r="A26" i="62"/>
  <c r="A26" i="65"/>
  <c r="A26" i="68"/>
  <c r="A26" i="70"/>
  <c r="A26" i="72"/>
  <c r="A26" i="66"/>
  <c r="A26" i="75"/>
  <c r="A26" i="78"/>
  <c r="A26" i="81"/>
  <c r="A26" i="83"/>
  <c r="A26" i="85"/>
  <c r="A26" i="87"/>
  <c r="A28" i="64"/>
  <c r="A28" i="58"/>
  <c r="A28" i="61"/>
  <c r="A28" i="63"/>
  <c r="A28" i="67"/>
  <c r="A28" i="69"/>
  <c r="A28" i="71"/>
  <c r="A28" i="73"/>
  <c r="A28" i="74"/>
  <c r="A28" i="76"/>
  <c r="A28" i="80"/>
  <c r="A28" i="82"/>
  <c r="A28" i="84"/>
  <c r="A28" i="88"/>
  <c r="A5" i="63"/>
  <c r="A5" i="58"/>
  <c r="A5" i="61"/>
  <c r="A5" i="64"/>
  <c r="A5" i="74"/>
  <c r="A5" i="67"/>
  <c r="A5" i="69"/>
  <c r="A5" i="71"/>
  <c r="A5" i="78"/>
  <c r="A5" i="81"/>
  <c r="A5" i="84"/>
  <c r="A5" i="76"/>
  <c r="A5" i="85"/>
  <c r="A5" i="87"/>
  <c r="A6" i="64"/>
  <c r="A6" i="58"/>
  <c r="A6" i="60"/>
  <c r="A6" i="62"/>
  <c r="A6" i="67"/>
  <c r="A6" i="69"/>
  <c r="A6" i="71"/>
  <c r="A6" i="73"/>
  <c r="A6" i="74"/>
  <c r="A6" i="76"/>
  <c r="A6" i="80"/>
  <c r="A6" i="82"/>
  <c r="A6" i="84"/>
  <c r="A6" i="86"/>
  <c r="A6" i="88"/>
  <c r="A7" i="61"/>
  <c r="A7" i="63"/>
  <c r="A7" i="58"/>
  <c r="A7" i="64"/>
  <c r="A7" i="74"/>
  <c r="A7" i="67"/>
  <c r="A7" i="69"/>
  <c r="A7" i="71"/>
  <c r="A7" i="78"/>
  <c r="A7" i="81"/>
  <c r="A7" i="83"/>
  <c r="A7" i="76"/>
  <c r="A7" i="85"/>
  <c r="A7" i="87"/>
  <c r="A8" i="64"/>
  <c r="A8" i="59"/>
  <c r="A8" i="61"/>
  <c r="A8" i="63"/>
  <c r="A8" i="67"/>
  <c r="A8" i="69"/>
  <c r="A8" i="71"/>
  <c r="A8" i="73"/>
  <c r="A8" i="74"/>
  <c r="A8" i="76"/>
  <c r="A8" i="80"/>
  <c r="A8" i="82"/>
  <c r="A8" i="84"/>
  <c r="A8" i="86"/>
  <c r="A8" i="88"/>
  <c r="A9" i="61"/>
  <c r="A9" i="63"/>
  <c r="A9" i="59"/>
  <c r="A9" i="65"/>
  <c r="A9" i="74"/>
  <c r="A9" i="67"/>
  <c r="A9" i="69"/>
  <c r="A9" i="71"/>
  <c r="A9" i="78"/>
  <c r="A9" i="81"/>
  <c r="A9" i="75"/>
  <c r="A9" i="83"/>
  <c r="A9" i="85"/>
  <c r="A9" i="87"/>
  <c r="A10" i="64"/>
  <c r="A10" i="59"/>
  <c r="A10" i="61"/>
  <c r="A10" i="63"/>
  <c r="A10" i="67"/>
  <c r="A10" i="69"/>
  <c r="A10" i="71"/>
  <c r="A10" i="73"/>
  <c r="A10" i="74"/>
  <c r="A10" i="76"/>
  <c r="A10" i="80"/>
  <c r="A10" i="82"/>
  <c r="A10" i="84"/>
  <c r="A10" i="86"/>
  <c r="A10" i="88"/>
  <c r="A11" i="61"/>
  <c r="A11" i="63"/>
  <c r="A11" i="59"/>
  <c r="A11" i="65"/>
  <c r="A11" i="74"/>
  <c r="A11" i="67"/>
  <c r="A11" i="69"/>
  <c r="A11" i="71"/>
  <c r="A11" i="78"/>
  <c r="A11" i="81"/>
  <c r="A11" i="83"/>
  <c r="A11" i="76"/>
  <c r="A11" i="85"/>
  <c r="A11" i="87"/>
  <c r="A12" i="64"/>
  <c r="A12" i="58"/>
  <c r="A12" i="61"/>
  <c r="A12" i="63"/>
  <c r="A12" i="67"/>
  <c r="A12" i="69"/>
  <c r="A12" i="71"/>
  <c r="A12" i="73"/>
  <c r="A12" i="74"/>
  <c r="A12" i="76"/>
  <c r="A12" i="80"/>
  <c r="A12" i="82"/>
  <c r="A12" i="84"/>
  <c r="A12" i="86"/>
  <c r="A12" i="88"/>
  <c r="A13" i="61"/>
  <c r="A13" i="63"/>
  <c r="A13" i="59"/>
  <c r="A13" i="65"/>
  <c r="A13" i="74"/>
  <c r="A13" i="67"/>
  <c r="A13" i="69"/>
  <c r="A13" i="71"/>
  <c r="A13" i="78"/>
  <c r="A13" i="81"/>
  <c r="A13" i="75"/>
  <c r="A13" i="83"/>
  <c r="A13" i="85"/>
  <c r="A13" i="87"/>
  <c r="A14" i="59"/>
  <c r="A13" i="73"/>
  <c r="A13" i="66"/>
  <c r="A13" i="68"/>
  <c r="A13" i="70"/>
  <c r="A13" i="72"/>
  <c r="A13" i="80"/>
  <c r="A13" i="82"/>
  <c r="A13" i="76"/>
  <c r="A13" i="84"/>
  <c r="A13" i="86"/>
  <c r="A13" i="88"/>
  <c r="A14" i="64"/>
  <c r="A14" i="60"/>
  <c r="A14" i="62"/>
  <c r="A14" i="65"/>
  <c r="A14" i="68"/>
  <c r="A14" i="70"/>
  <c r="A14" i="72"/>
  <c r="A14" i="66"/>
  <c r="A14" i="75"/>
  <c r="A14" i="78"/>
  <c r="A14" i="81"/>
  <c r="A14" i="83"/>
  <c r="A14" i="85"/>
  <c r="A14" i="87"/>
  <c r="A15" i="60"/>
  <c r="A15" i="62"/>
  <c r="A15" i="58"/>
  <c r="A15" i="64"/>
  <c r="A15" i="73"/>
  <c r="A15" i="66"/>
  <c r="A15" i="68"/>
  <c r="A15" i="70"/>
  <c r="A15" i="72"/>
  <c r="A15" i="80"/>
  <c r="A15" i="82"/>
  <c r="A15" i="75"/>
  <c r="A15" i="84"/>
  <c r="A15" i="86"/>
  <c r="A15" i="88"/>
  <c r="A16" i="59"/>
  <c r="A16" i="60"/>
  <c r="A16" i="62"/>
  <c r="A16" i="65"/>
  <c r="A16" i="68"/>
  <c r="A16" i="70"/>
  <c r="A16" i="72"/>
  <c r="A16" i="66"/>
  <c r="A16" i="75"/>
  <c r="A16" i="78"/>
  <c r="A16" i="81"/>
  <c r="A16" i="83"/>
  <c r="A16" i="85"/>
  <c r="A16" i="87"/>
  <c r="A17" i="58"/>
  <c r="A17" i="62"/>
  <c r="A17" i="60"/>
  <c r="A17" i="64"/>
  <c r="A17" i="73"/>
  <c r="A17" i="66"/>
  <c r="A17" i="68"/>
  <c r="A17" i="70"/>
  <c r="A17" i="72"/>
  <c r="A17" i="80"/>
  <c r="A17" i="82"/>
  <c r="A17" i="76"/>
  <c r="A17" i="84"/>
  <c r="A17" i="86"/>
  <c r="A17" i="88"/>
  <c r="A18" i="64"/>
  <c r="A18" i="60"/>
  <c r="A18" i="62"/>
  <c r="A18" i="65"/>
  <c r="A18" i="68"/>
  <c r="A18" i="70"/>
  <c r="A18" i="72"/>
  <c r="A18" i="66"/>
  <c r="A18" i="75"/>
  <c r="A18" i="78"/>
  <c r="A18" i="81"/>
  <c r="A18" i="83"/>
  <c r="A18" i="85"/>
  <c r="A18" i="87"/>
  <c r="A19" i="60"/>
  <c r="A19" i="62"/>
  <c r="A19" i="58"/>
  <c r="A19" i="64"/>
  <c r="A19" i="73"/>
  <c r="A19" i="66"/>
  <c r="A19" i="68"/>
  <c r="A19" i="70"/>
  <c r="A19" i="72"/>
  <c r="A19" i="80"/>
  <c r="A19" i="83"/>
  <c r="A19" i="76"/>
  <c r="A19" i="84"/>
  <c r="A19" i="86"/>
  <c r="A19" i="88"/>
  <c r="A20" i="59"/>
  <c r="A20" i="60"/>
  <c r="A20" i="62"/>
  <c r="A20" i="65"/>
  <c r="A20" i="68"/>
  <c r="A20" i="70"/>
  <c r="A20" i="72"/>
  <c r="A20" i="66"/>
  <c r="A20" i="75"/>
  <c r="A20" i="78"/>
  <c r="A20" i="81"/>
  <c r="A20" i="83"/>
  <c r="A20" i="85"/>
  <c r="A20" i="87"/>
  <c r="A21" i="61"/>
  <c r="A21" i="63"/>
  <c r="A21" i="60"/>
  <c r="A21" i="64"/>
  <c r="A21" i="73"/>
  <c r="A21" i="66"/>
  <c r="A21" i="68"/>
  <c r="A21" i="70"/>
  <c r="A21" i="72"/>
  <c r="A21" i="80"/>
  <c r="A21" i="82"/>
  <c r="A21" i="76"/>
  <c r="A21" i="84"/>
  <c r="A21" i="86"/>
  <c r="A21" i="88"/>
  <c r="A23" i="61"/>
  <c r="A23" i="63"/>
  <c r="A23" i="59"/>
  <c r="A23" i="65"/>
  <c r="A23" i="74"/>
  <c r="A23" i="67"/>
  <c r="A23" i="69"/>
  <c r="A23" i="71"/>
  <c r="A23" i="78"/>
  <c r="A23" i="81"/>
  <c r="A23" i="75"/>
  <c r="A23" i="82"/>
  <c r="A23" i="85"/>
  <c r="A23" i="87"/>
  <c r="A25" i="60"/>
  <c r="A25" i="62"/>
  <c r="A25" i="58"/>
  <c r="A25" i="64"/>
  <c r="A25" i="73"/>
  <c r="A25" i="66"/>
  <c r="A25" i="68"/>
  <c r="A25" i="70"/>
  <c r="A25" i="72"/>
  <c r="A25" i="80"/>
  <c r="A25" i="82"/>
  <c r="A25" i="76"/>
  <c r="A25" i="84"/>
  <c r="A25" i="88"/>
  <c r="A27" i="61"/>
  <c r="A27" i="63"/>
  <c r="A27" i="59"/>
  <c r="A27" i="65"/>
  <c r="A27" i="74"/>
  <c r="A27" i="67"/>
  <c r="A27" i="69"/>
  <c r="A27" i="71"/>
  <c r="A27" i="78"/>
  <c r="A27" i="81"/>
  <c r="A27" i="75"/>
  <c r="A27" i="82"/>
  <c r="A27" i="85"/>
  <c r="A27" i="87"/>
  <c r="A14" i="58"/>
  <c r="A14" i="61"/>
  <c r="A14" i="63"/>
  <c r="A14" i="67"/>
  <c r="A14" i="69"/>
  <c r="A14" i="71"/>
  <c r="A14" i="73"/>
  <c r="A14" i="74"/>
  <c r="A14" i="76"/>
  <c r="A14" i="80"/>
  <c r="A14" i="82"/>
  <c r="A14" i="84"/>
  <c r="A14" i="86"/>
  <c r="A14" i="88"/>
  <c r="A15" i="61"/>
  <c r="A15" i="63"/>
  <c r="A15" i="59"/>
  <c r="A15" i="65"/>
  <c r="A15" i="74"/>
  <c r="A15" i="67"/>
  <c r="A15" i="69"/>
  <c r="A15" i="71"/>
  <c r="A15" i="78"/>
  <c r="A15" i="81"/>
  <c r="A15" i="83"/>
  <c r="A15" i="76"/>
  <c r="A15" i="85"/>
  <c r="A15" i="87"/>
  <c r="A16" i="64"/>
  <c r="A16" i="58"/>
  <c r="A16" i="61"/>
  <c r="A16" i="63"/>
  <c r="A16" i="67"/>
  <c r="A16" i="69"/>
  <c r="A16" i="71"/>
  <c r="A16" i="73"/>
  <c r="A16" i="74"/>
  <c r="A16" i="76"/>
  <c r="A16" i="80"/>
  <c r="A16" i="82"/>
  <c r="A16" i="84"/>
  <c r="A16" i="86"/>
  <c r="A16" i="88"/>
  <c r="A17" i="61"/>
  <c r="A17" i="63"/>
  <c r="A17" i="59"/>
  <c r="A17" i="65"/>
  <c r="A17" i="74"/>
  <c r="A17" i="67"/>
  <c r="A17" i="69"/>
  <c r="A17" i="71"/>
  <c r="A17" i="78"/>
  <c r="A17" i="81"/>
  <c r="A17" i="75"/>
  <c r="A17" i="83"/>
  <c r="A17" i="85"/>
  <c r="A17" i="87"/>
  <c r="A18" i="59"/>
  <c r="A18" i="58"/>
  <c r="A18" i="61"/>
  <c r="A18" i="63"/>
  <c r="A18" i="67"/>
  <c r="A18" i="69"/>
  <c r="A18" i="71"/>
  <c r="A18" i="73"/>
  <c r="A18" i="74"/>
  <c r="A18" i="76"/>
  <c r="A18" i="80"/>
  <c r="A18" i="82"/>
  <c r="A18" i="84"/>
  <c r="A18" i="86"/>
  <c r="A18" i="88"/>
  <c r="A19" i="61"/>
  <c r="A19" i="63"/>
  <c r="A19" i="59"/>
  <c r="A19" i="65"/>
  <c r="A19" i="74"/>
  <c r="A19" i="67"/>
  <c r="A19" i="69"/>
  <c r="A19" i="71"/>
  <c r="A19" i="78"/>
  <c r="A19" i="81"/>
  <c r="A19" i="75"/>
  <c r="A19" i="82"/>
  <c r="A19" i="85"/>
  <c r="A19" i="87"/>
  <c r="A20" i="64"/>
  <c r="A20" i="58"/>
  <c r="A20" i="61"/>
  <c r="A20" i="63"/>
  <c r="A20" i="67"/>
  <c r="A20" i="69"/>
  <c r="A20" i="71"/>
  <c r="A20" i="73"/>
  <c r="A20" i="74"/>
  <c r="A20" i="76"/>
  <c r="A20" i="80"/>
  <c r="A20" i="82"/>
  <c r="A20" i="84"/>
  <c r="A20" i="86"/>
  <c r="A20" i="88"/>
  <c r="A21" i="62"/>
  <c r="A21" i="58"/>
  <c r="A21" i="59"/>
  <c r="A21" i="65"/>
  <c r="A21" i="74"/>
  <c r="A21" i="67"/>
  <c r="A21" i="69"/>
  <c r="A21" i="71"/>
  <c r="A21" i="78"/>
  <c r="A21" i="81"/>
  <c r="A21" i="75"/>
  <c r="A21" i="83"/>
  <c r="A21" i="85"/>
  <c r="A21" i="87"/>
  <c r="A23" i="60"/>
  <c r="A23" i="62"/>
  <c r="A23" i="58"/>
  <c r="A23" i="64"/>
  <c r="A23" i="73"/>
  <c r="A23" i="66"/>
  <c r="A23" i="68"/>
  <c r="A23" i="70"/>
  <c r="A23" i="72"/>
  <c r="A23" i="80"/>
  <c r="A23" i="83"/>
  <c r="A23" i="76"/>
  <c r="A23" i="84"/>
  <c r="A23" i="88"/>
  <c r="A25" i="61"/>
  <c r="A25" i="63"/>
  <c r="A25" i="59"/>
  <c r="A25" i="65"/>
  <c r="A25" i="74"/>
  <c r="A25" i="67"/>
  <c r="A25" i="69"/>
  <c r="A25" i="71"/>
  <c r="A25" i="78"/>
  <c r="A25" i="81"/>
  <c r="A25" i="75"/>
  <c r="A25" i="83"/>
  <c r="A25" i="85"/>
  <c r="A25" i="87"/>
  <c r="A27" i="60"/>
  <c r="A27" i="62"/>
  <c r="A27" i="58"/>
  <c r="A27" i="64"/>
  <c r="A27" i="73"/>
  <c r="A27" i="66"/>
  <c r="A27" i="68"/>
  <c r="A27" i="70"/>
  <c r="A27" i="72"/>
  <c r="A27" i="80"/>
  <c r="A27" i="83"/>
  <c r="A27" i="76"/>
  <c r="A27" i="84"/>
  <c r="A27" i="88"/>
  <c r="A6" i="19"/>
  <c r="A28" i="3"/>
  <c r="A21" i="3"/>
  <c r="A28" i="14"/>
  <c r="A29" i="14"/>
  <c r="A28" i="19"/>
  <c r="A29" i="19"/>
  <c r="A28" i="18"/>
  <c r="A29" i="18"/>
  <c r="A28" i="16"/>
  <c r="A29" i="16"/>
  <c r="A28" i="17"/>
  <c r="A29" i="17"/>
  <c r="A29" i="3"/>
  <c r="A18" i="3"/>
  <c r="A9" i="3"/>
  <c r="A23" i="3"/>
  <c r="A11" i="3"/>
  <c r="A13" i="19"/>
  <c r="A6" i="14"/>
  <c r="A19" i="3"/>
  <c r="A17" i="3"/>
  <c r="A14" i="3"/>
  <c r="A13" i="3"/>
  <c r="A15" i="3"/>
  <c r="A21" i="14"/>
  <c r="A8" i="3"/>
  <c r="A12" i="3"/>
  <c r="A20" i="3"/>
  <c r="A22" i="3"/>
  <c r="A16" i="3"/>
  <c r="A5" i="3"/>
  <c r="A6" i="3"/>
  <c r="A10" i="3"/>
  <c r="A24" i="3"/>
  <c r="A27" i="3"/>
  <c r="A6" i="18"/>
  <c r="A4" i="17"/>
  <c r="A4" i="16"/>
  <c r="A26" i="3"/>
  <c r="A25" i="3"/>
  <c r="A18" i="14"/>
  <c r="A13" i="16"/>
  <c r="A6" i="17"/>
  <c r="A6" i="16"/>
  <c r="A4" i="19"/>
  <c r="A4" i="14"/>
  <c r="A7" i="3"/>
  <c r="A13" i="14"/>
  <c r="A13" i="18"/>
  <c r="A13" i="17"/>
  <c r="A12" i="19"/>
  <c r="A12" i="14"/>
  <c r="A12" i="18"/>
  <c r="A4" i="3"/>
  <c r="A11" i="14"/>
  <c r="A11" i="18"/>
  <c r="A11" i="19"/>
  <c r="A25" i="14"/>
  <c r="A27" i="14"/>
  <c r="A23" i="14"/>
  <c r="A19" i="14"/>
  <c r="A12" i="17"/>
  <c r="A12" i="16"/>
  <c r="A26" i="17"/>
  <c r="A26" i="16"/>
  <c r="A11" i="16"/>
  <c r="A11" i="17"/>
  <c r="A25" i="16"/>
  <c r="A25" i="19"/>
  <c r="A15" i="14"/>
  <c r="A15" i="18"/>
  <c r="A15" i="19"/>
  <c r="A22" i="19"/>
  <c r="A22" i="18"/>
  <c r="A19" i="16"/>
  <c r="A19" i="19"/>
  <c r="A27" i="16"/>
  <c r="A27" i="19"/>
  <c r="A24" i="19"/>
  <c r="A24" i="18"/>
  <c r="A7" i="16"/>
  <c r="A7" i="17"/>
  <c r="A21" i="18"/>
  <c r="A21" i="17"/>
  <c r="A23" i="18"/>
  <c r="A23" i="17"/>
  <c r="A9" i="16"/>
  <c r="A9" i="17"/>
  <c r="A17" i="16"/>
  <c r="A17" i="17"/>
  <c r="A14" i="19"/>
  <c r="A14" i="16"/>
  <c r="A10" i="19"/>
  <c r="A10" i="14"/>
  <c r="A10" i="18"/>
  <c r="A20" i="19"/>
  <c r="A20" i="18"/>
  <c r="A8" i="17"/>
  <c r="A8" i="16"/>
  <c r="A5" i="14"/>
  <c r="A5" i="18"/>
  <c r="A5" i="19"/>
  <c r="A18" i="17"/>
  <c r="A18" i="16"/>
  <c r="A16" i="19"/>
  <c r="A16" i="16"/>
  <c r="A26" i="19"/>
  <c r="A26" i="18"/>
  <c r="A25" i="18"/>
  <c r="A25" i="17"/>
  <c r="A15" i="16"/>
  <c r="A15" i="17"/>
  <c r="A22" i="17"/>
  <c r="A22" i="16"/>
  <c r="A19" i="18"/>
  <c r="A19" i="17"/>
  <c r="A27" i="18"/>
  <c r="A27" i="17"/>
  <c r="A24" i="17"/>
  <c r="A24" i="16"/>
  <c r="A7" i="14"/>
  <c r="A7" i="18"/>
  <c r="A7" i="19"/>
  <c r="A21" i="16"/>
  <c r="A21" i="19"/>
  <c r="A23" i="16"/>
  <c r="A23" i="19"/>
  <c r="A9" i="14"/>
  <c r="A9" i="18"/>
  <c r="A9" i="19"/>
  <c r="A17" i="14"/>
  <c r="A17" i="18"/>
  <c r="A17" i="19"/>
  <c r="A14" i="17"/>
  <c r="A14" i="14"/>
  <c r="A14" i="18"/>
  <c r="A10" i="17"/>
  <c r="A10" i="16"/>
  <c r="A20" i="17"/>
  <c r="A20" i="16"/>
  <c r="A8" i="19"/>
  <c r="A8" i="14"/>
  <c r="A8" i="18"/>
  <c r="A5" i="16"/>
  <c r="A5" i="17"/>
  <c r="A18" i="19"/>
  <c r="A18" i="18"/>
  <c r="A16" i="17"/>
  <c r="A16" i="14"/>
  <c r="A16" i="18"/>
  <c r="A26" i="14"/>
  <c r="A22" i="14"/>
  <c r="A24" i="14"/>
  <c r="A20" i="14"/>
</calcChain>
</file>

<file path=xl/sharedStrings.xml><?xml version="1.0" encoding="utf-8"?>
<sst xmlns="http://schemas.openxmlformats.org/spreadsheetml/2006/main" count="422" uniqueCount="90">
  <si>
    <t>№ п/п</t>
  </si>
  <si>
    <t>Номер виборчого округу</t>
  </si>
  <si>
    <t>Прізвище, власне ім’я (усі власні імена), по батькові (за наявності) обраного депутата</t>
  </si>
  <si>
    <t>явка</t>
  </si>
  <si>
    <t>кількість прибувших депутатів</t>
  </si>
  <si>
    <t>Панченко Сергій Вікторович</t>
  </si>
  <si>
    <t>прибув</t>
  </si>
  <si>
    <t>Мелащенко Іван Іванович</t>
  </si>
  <si>
    <t>Садовий Сергій Миколайович</t>
  </si>
  <si>
    <t>відсутній</t>
  </si>
  <si>
    <t>Цопа Микола Миколайович</t>
  </si>
  <si>
    <t>Всього</t>
  </si>
  <si>
    <t>За</t>
  </si>
  <si>
    <t>Проти</t>
  </si>
  <si>
    <t>Утрим</t>
  </si>
  <si>
    <t>Саверська-Лихошва Валентина Василівна</t>
  </si>
  <si>
    <t>селищний голова</t>
  </si>
  <si>
    <t>примітка</t>
  </si>
  <si>
    <t>Регламент</t>
  </si>
  <si>
    <t>Лічильна комісія</t>
  </si>
  <si>
    <t>Секретар сесії</t>
  </si>
  <si>
    <t xml:space="preserve">Остаточний порядок денний </t>
  </si>
  <si>
    <t>за</t>
  </si>
  <si>
    <t>проти</t>
  </si>
  <si>
    <t>утрималися</t>
  </si>
  <si>
    <t>результат</t>
  </si>
  <si>
    <t>Питання порядку денного</t>
  </si>
  <si>
    <t>не голосували</t>
  </si>
  <si>
    <t>Коваленко Марина Петрівна</t>
  </si>
  <si>
    <t>Нагнойний Микола Олексійович</t>
  </si>
  <si>
    <t>Андрієнко Андрій Іванович</t>
  </si>
  <si>
    <t xml:space="preserve">Небрат Володимир Гнатович </t>
  </si>
  <si>
    <t>Лущик Любов Олександрівна</t>
  </si>
  <si>
    <t>Чаленко Валерій Миколайович</t>
  </si>
  <si>
    <t>Борщ Яна Петрівна</t>
  </si>
  <si>
    <t>Прищенко Тетяна Іванівна</t>
  </si>
  <si>
    <t>Сміловець Віталій Володимирович</t>
  </si>
  <si>
    <t>Шашлова Тамара Вікторівна</t>
  </si>
  <si>
    <t>Гайдай Микола Васильович</t>
  </si>
  <si>
    <t>Пальоха Тетяна Петрівна</t>
  </si>
  <si>
    <t>Матухно Іван Григорович</t>
  </si>
  <si>
    <t>Гармаш Віктор Іванович</t>
  </si>
  <si>
    <t>Борсук Юрій Миколайович</t>
  </si>
  <si>
    <t>Рибальченко Максим Володимирович</t>
  </si>
  <si>
    <t>Макух Богдан Володимирович</t>
  </si>
  <si>
    <t>Небрат Василь Іванович</t>
  </si>
  <si>
    <t>Бойко Валентина Дмитрівна</t>
  </si>
  <si>
    <t>Костін Андрій Анатолійович</t>
  </si>
  <si>
    <t>Холявінська Олена Миколаївна</t>
  </si>
  <si>
    <t>Неліпа Віталій Михайлович</t>
  </si>
  <si>
    <t>Лічильна комісія:</t>
  </si>
  <si>
    <t>Коваленко М.П.</t>
  </si>
  <si>
    <t>Матухно І.Г.</t>
  </si>
  <si>
    <t>Цопа М.М.</t>
  </si>
  <si>
    <t>Про затвердження проектів землеустрою щодо відведення земельних ділянок та передачу їх у власність (Чепурна,Скорозвон …)</t>
  </si>
  <si>
    <t>Про затвердження технічних документацій із землеустрою щодо встановлення (відновлення) меж земельних ділянок в натурі (на місцевості)(Первун,Місько…)</t>
  </si>
  <si>
    <t>Про розгляд клопотання СТОВ «Дружба-Нова»</t>
  </si>
  <si>
    <t>Про надання дозволів на розроблення технічних документацій із землеустрою щодо інвентаризації масивів земель сільськогосподарського призначення</t>
  </si>
  <si>
    <t>Про затвердження Програми проведення інвентаризації масивів земель сільськогосподарського призначення на території Варвинської селищної ради Варвинського району Чернігівської області на 2019 рік</t>
  </si>
  <si>
    <t>Про надання дозволів на розроблення технічних документацій із землеустрою щодо встановлення (відновлення) меж земельних ділянок в натурі (на місцевості)(Даніленко,Матухно)</t>
  </si>
  <si>
    <t>Про надання дозволів на розроблення проектів землеустрою щодо відведення земельних ділянок(Куркін,Бейкун,Лисова)</t>
  </si>
  <si>
    <t>Про надання дозволу на розроблення проекту землеустрою щодо відведення земельної ділянки(Бойко)</t>
  </si>
  <si>
    <t>Про надання дозволу на розроблення проекту землеустрою щодо відведення земельної ділянки(Лісовський)</t>
  </si>
  <si>
    <t>Про надання дозволу на розроблення проекту землеустрою щодо відведення земельної ділянки (Балаба)</t>
  </si>
  <si>
    <t>Про надання дозволу на розроблення проекту землеустрою щодо відведення земельної ділянки (Гутак)</t>
  </si>
  <si>
    <t>Про надання дозволу на розроблення проекту землеустрою щодо відведення земельної ділянки(Єфременко)</t>
  </si>
  <si>
    <t>Про надання дозволу на розроблення проекту землеустрою щодо відведення земельної ділянки (Куркін)</t>
  </si>
  <si>
    <t>Про надання дозволу на розроблення проекту землеустрою щодо відведення земельної ділянки(Малієнко)</t>
  </si>
  <si>
    <t>Про надання дозволу на розроблення проекту землеустрою щодо відведення земельної ділянки(Шаркеліс)</t>
  </si>
  <si>
    <t>Про надання дозволу на розроблення проекту землеустрою щодо відведення земельної ділянки(Науменко)</t>
  </si>
  <si>
    <t>Про надання дозволу на розроблення проекту землеустрою щодо відведення земельної ділянки(Хоменко)</t>
  </si>
  <si>
    <t>Про надання дозволу на розроблення проекту землеустрою щодо відведення земельної ділянки(Денисенко)</t>
  </si>
  <si>
    <t>Про надання дозволу на розроблення проекту землеустрою щодо відведення земельної ділянки(Лозовий)</t>
  </si>
  <si>
    <t>Про надання дозволу на розроблення проекту землеустрою щодо відведення земельної ділянки(Лозова)</t>
  </si>
  <si>
    <t>Про надання дозволу на розроблення проекту землеустрою щодо відведення земельної ділянки(Онищенко)</t>
  </si>
  <si>
    <t>Про надання дозволу на розроблення проекту землеустрою щодо відведення земельної ділянки(Онищенко С.)</t>
  </si>
  <si>
    <t>Про надання дозволу на розроблення проекту землеустрою щодо відведення земельної ділянки(Онищенко Ю.)</t>
  </si>
  <si>
    <t>Про надання дозволу на розроблення проекту землеустрою щодо відведення земельної ділянки(Кульга)</t>
  </si>
  <si>
    <t>Про розгляд заяви Тищенка Л.П.</t>
  </si>
  <si>
    <t>Про відмову в наданні дозволів на розроблення проектів землеустрою щодо відведення земельних ділянок у власність(Бедрак,Оніщенко)</t>
  </si>
  <si>
    <t>Про припинення права користування земельними ділянками(Хорт,Пятниця,Вовчук…)</t>
  </si>
  <si>
    <t>Про встановлення розмірів орендної плати</t>
  </si>
  <si>
    <t>Про продаж земельної ділянки комунальної власності несільськогосподарського призначення(Жук О.)</t>
  </si>
  <si>
    <t>Про внесення змін в рішення Варвинської селищної ради від 16 серпня 2018 року № 5-13/18отг «Про передачу в оренду земельної ділянки»(Полонець О.)</t>
  </si>
  <si>
    <t>Звіт селищного голови</t>
  </si>
  <si>
    <t>Про втрату чинності рішення селищної ради</t>
  </si>
  <si>
    <t>№ рішення</t>
  </si>
  <si>
    <t>Рішення не прийнято</t>
  </si>
  <si>
    <t>Про встановлення розмірів орендної плати (перший варіант : земельна комісії 4,5 %)</t>
  </si>
  <si>
    <t>Про встановлення розмірів орендної плати (другий варіант: регламентна комісія- 6 %)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</si>
</sst>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8" fillId="0" borderId="0" xfId="0" applyFont="1"/>
    <xf numFmtId="0" fontId="6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Border="1"/>
    <xf numFmtId="0" fontId="0" fillId="0" borderId="0" xfId="0" applyAlignment="1">
      <alignment wrapText="1"/>
    </xf>
    <xf numFmtId="0" fontId="10" fillId="0" borderId="6" xfId="0" applyNumberFormat="1" applyFont="1" applyBorder="1"/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3" xfId="0" applyFont="1" applyBorder="1"/>
    <xf numFmtId="0" fontId="8" fillId="0" borderId="10" xfId="0" applyFont="1" applyBorder="1"/>
    <xf numFmtId="0" fontId="14" fillId="0" borderId="9" xfId="0" applyFont="1" applyBorder="1"/>
    <xf numFmtId="0" fontId="8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9" xfId="0" applyFont="1" applyBorder="1"/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/>
    <xf numFmtId="0" fontId="18" fillId="0" borderId="10" xfId="0" applyFont="1" applyBorder="1"/>
    <xf numFmtId="0" fontId="20" fillId="0" borderId="0" xfId="0" applyFont="1"/>
    <xf numFmtId="0" fontId="19" fillId="0" borderId="0" xfId="0" applyFont="1"/>
    <xf numFmtId="0" fontId="13" fillId="0" borderId="6" xfId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6" xfId="0" applyBorder="1"/>
    <xf numFmtId="0" fontId="13" fillId="0" borderId="0" xfId="1" applyAlignment="1">
      <alignment horizontal="left" vertical="top" wrapText="1"/>
    </xf>
    <xf numFmtId="0" fontId="13" fillId="0" borderId="0" xfId="1" applyAlignment="1">
      <alignment horizontal="center" wrapText="1"/>
    </xf>
    <xf numFmtId="0" fontId="13" fillId="0" borderId="0" xfId="1" applyAlignment="1">
      <alignment horizontal="left" vertical="top"/>
    </xf>
    <xf numFmtId="0" fontId="13" fillId="0" borderId="0" xfId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19" fillId="0" borderId="6" xfId="0" applyFont="1" applyBorder="1"/>
    <xf numFmtId="0" fontId="21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5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ables/table1.xml><?xml version="1.0" encoding="utf-8"?>
<table xmlns="http://schemas.openxmlformats.org/spreadsheetml/2006/main" id="1" name="Таблица1" displayName="Таблица1" ref="A2:F30" totalsRowCount="1" tableBorderDxfId="569">
  <autoFilter ref="A2:F29"/>
  <sortState ref="A3:F29">
    <sortCondition ref="F3:F29"/>
    <sortCondition descending="1" ref="D3:D29"/>
    <sortCondition ref="C3:C29"/>
  </sortState>
  <tableColumns count="6">
    <tableColumn id="1" name="№ п/п" totalsRowLabel="Всього" dataDxfId="568" totalsRowDxfId="199">
      <calculatedColumnFormula>IF(ISBLANK(F3),"",COUNTA($F$3:F3))</calculatedColumnFormula>
    </tableColumn>
    <tableColumn id="2" name="Номер виборчого округу" dataDxfId="2" totalsRowDxfId="198"/>
    <tableColumn id="3" name="Прізвище, власне ім’я (усі власні імена), по батькові (за наявності) обраного депутата" dataDxfId="0" totalsRowDxfId="197"/>
    <tableColumn id="4" name="явка" dataDxfId="1" totalsRowDxfId="196"/>
    <tableColumn id="6" name="кількість прибувших депутатів" totalsRowFunction="custom" dataDxfId="567" totalsRowDxfId="195">
      <calculatedColumnFormula>IF(Таблица1[[#This Row],[явка]]="прибув",1,"")</calculatedColumnFormula>
      <totalsRowFormula>SUBTOTAL(109,Таблица1[кількість прибувших депутатів])-1</totalsRowFormula>
    </tableColumn>
    <tableColumn id="7" name="примітка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Таблица24567891011" displayName="Таблица24567891011" ref="A2:F30" totalsRowCount="1" headerRowDxfId="502" dataDxfId="501">
  <autoFilter ref="A2:F29"/>
  <sortState ref="A3:G28">
    <sortCondition descending="1" ref="B1:B27"/>
  </sortState>
  <tableColumns count="6">
    <tableColumn id="1" name="№ п/п" totalsRowLabel="Всього" dataDxfId="500" totalsRowDxfId="14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99" totalsRowDxfId="14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98" totalsRowDxfId="144"/>
    <tableColumn id="4" name="Проти" totalsRowFunction="sum" dataDxfId="497" totalsRowDxfId="143"/>
    <tableColumn id="5" name="Утрим" totalsRowFunction="sum" dataDxfId="496" totalsRowDxfId="142"/>
    <tableColumn id="6" name="не голосували" totalsRowFunction="sum" dataDxfId="495" totalsRowDxfId="141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6" name="Таблица2456789101117" displayName="Таблица2456789101117" ref="A2:F30" totalsRowCount="1" headerRowDxfId="494" dataDxfId="493">
  <autoFilter ref="A2:F29"/>
  <sortState ref="A3:G28">
    <sortCondition descending="1" ref="B1:B27"/>
  </sortState>
  <tableColumns count="6">
    <tableColumn id="1" name="№ п/п" totalsRowLabel="Всього" dataDxfId="492" totalsRowDxfId="14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91" totalsRowDxfId="13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90" totalsRowDxfId="138"/>
    <tableColumn id="4" name="Проти" totalsRowFunction="sum" dataDxfId="489" totalsRowDxfId="137"/>
    <tableColumn id="5" name="Утрим" totalsRowFunction="sum" dataDxfId="488" totalsRowDxfId="136"/>
    <tableColumn id="6" name="не голосували" totalsRowFunction="sum" dataDxfId="487" totalsRowDxfId="135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7" name="Таблица245678910111718" displayName="Таблица245678910111718" ref="A2:F30" totalsRowCount="1" headerRowDxfId="486" dataDxfId="485">
  <autoFilter ref="A2:F29"/>
  <sortState ref="A3:G28">
    <sortCondition descending="1" ref="B1:B27"/>
  </sortState>
  <tableColumns count="6">
    <tableColumn id="1" name="№ п/п" totalsRowLabel="Всього" dataDxfId="484" totalsRowDxfId="13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83" totalsRowDxfId="13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82" totalsRowDxfId="132"/>
    <tableColumn id="4" name="Проти" totalsRowFunction="sum" dataDxfId="481" totalsRowDxfId="131"/>
    <tableColumn id="5" name="Утрим" totalsRowFunction="sum" dataDxfId="480" totalsRowDxfId="130"/>
    <tableColumn id="6" name="не голосували" totalsRowFunction="sum" dataDxfId="479" totalsRowDxfId="129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Таблица24567891011171819" displayName="Таблица24567891011171819" ref="A2:F30" totalsRowCount="1" headerRowDxfId="478" dataDxfId="477">
  <autoFilter ref="A2:F29"/>
  <sortState ref="A3:G28">
    <sortCondition descending="1" ref="B1:B27"/>
  </sortState>
  <tableColumns count="6">
    <tableColumn id="1" name="№ п/п" totalsRowLabel="Всього" dataDxfId="476" totalsRowDxfId="12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75" totalsRowDxfId="12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74" totalsRowDxfId="126"/>
    <tableColumn id="4" name="Проти" totalsRowFunction="sum" dataDxfId="473" totalsRowDxfId="125"/>
    <tableColumn id="5" name="Утрим" totalsRowFunction="sum" dataDxfId="472" totalsRowDxfId="124"/>
    <tableColumn id="6" name="не голосували" totalsRowFunction="sum" dataDxfId="471" totalsRowDxfId="123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9" name="Таблица2456789101117181920" displayName="Таблица2456789101117181920" ref="A2:F30" totalsRowCount="1" headerRowDxfId="470" dataDxfId="469">
  <autoFilter ref="A2:F29"/>
  <sortState ref="A3:G28">
    <sortCondition descending="1" ref="B1:B27"/>
  </sortState>
  <tableColumns count="6">
    <tableColumn id="1" name="№ п/п" totalsRowLabel="Всього" dataDxfId="468" totalsRowDxfId="12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67" totalsRowDxfId="12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66" totalsRowDxfId="120"/>
    <tableColumn id="4" name="Проти" totalsRowFunction="sum" dataDxfId="465" totalsRowDxfId="119"/>
    <tableColumn id="5" name="Утрим" totalsRowFunction="sum" dataDxfId="464" totalsRowDxfId="118"/>
    <tableColumn id="6" name="не голосували" totalsRowFunction="sum" dataDxfId="463" totalsRowDxfId="117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20" name="Таблица245678910111718192021" displayName="Таблица245678910111718192021" ref="A2:F30" totalsRowCount="1" headerRowDxfId="462" dataDxfId="461">
  <autoFilter ref="A2:F29"/>
  <sortState ref="A3:G28">
    <sortCondition descending="1" ref="B1:B27"/>
  </sortState>
  <tableColumns count="6">
    <tableColumn id="1" name="№ п/п" totalsRowLabel="Всього" dataDxfId="460" totalsRowDxfId="11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59" totalsRowDxfId="11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58" totalsRowDxfId="114"/>
    <tableColumn id="4" name="Проти" totalsRowFunction="sum" dataDxfId="457" totalsRowDxfId="113"/>
    <tableColumn id="5" name="Утрим" totalsRowFunction="sum" dataDxfId="456" totalsRowDxfId="112"/>
    <tableColumn id="6" name="не голосували" totalsRowFunction="sum" dataDxfId="455" totalsRowDxfId="111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21" name="Таблица24567891011171819202122" displayName="Таблица24567891011171819202122" ref="A2:F30" totalsRowCount="1" headerRowDxfId="454" dataDxfId="453">
  <autoFilter ref="A2:F29"/>
  <sortState ref="A3:G28">
    <sortCondition descending="1" ref="B1:B27"/>
  </sortState>
  <tableColumns count="6">
    <tableColumn id="1" name="№ п/п" totalsRowLabel="Всього" dataDxfId="452" totalsRowDxfId="11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51" totalsRowDxfId="10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50" totalsRowDxfId="108"/>
    <tableColumn id="4" name="Проти" totalsRowFunction="sum" dataDxfId="449" totalsRowDxfId="107"/>
    <tableColumn id="5" name="Утрим" totalsRowFunction="sum" dataDxfId="448" totalsRowDxfId="106"/>
    <tableColumn id="6" name="не голосували" totalsRowFunction="sum" dataDxfId="447" totalsRowDxfId="105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22" name="Таблица2456789101117181920212223" displayName="Таблица2456789101117181920212223" ref="A2:F30" totalsRowCount="1" headerRowDxfId="446" dataDxfId="445">
  <autoFilter ref="A2:F29"/>
  <sortState ref="A3:G28">
    <sortCondition descending="1" ref="B1:B27"/>
  </sortState>
  <tableColumns count="6">
    <tableColumn id="1" name="№ п/п" totalsRowLabel="Всього" dataDxfId="444" totalsRowDxfId="10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43" totalsRowDxfId="10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42" totalsRowDxfId="102"/>
    <tableColumn id="4" name="Проти" totalsRowFunction="sum" dataDxfId="441" totalsRowDxfId="101"/>
    <tableColumn id="5" name="Утрим" totalsRowFunction="sum" dataDxfId="440" totalsRowDxfId="100"/>
    <tableColumn id="6" name="не голосували" dataDxfId="439" totalsRowDxfId="99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3" name="Таблица245678910111718192021222324" displayName="Таблица245678910111718192021222324" ref="A2:F30" totalsRowCount="1" headerRowDxfId="438" dataDxfId="437">
  <autoFilter ref="A2:F29"/>
  <sortState ref="A3:G28">
    <sortCondition descending="1" ref="B1:B27"/>
  </sortState>
  <tableColumns count="6">
    <tableColumn id="1" name="№ п/п" totalsRowLabel="Всього" dataDxfId="436" totalsRowDxfId="9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35" totalsRowDxfId="9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34" totalsRowDxfId="96"/>
    <tableColumn id="4" name="Проти" totalsRowFunction="sum" dataDxfId="433" totalsRowDxfId="95"/>
    <tableColumn id="5" name="Утрим" totalsRowFunction="sum" dataDxfId="432" totalsRowDxfId="94"/>
    <tableColumn id="6" name="не голосували" totalsRowFunction="sum" dataDxfId="431" totalsRowDxfId="93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4" name="Таблица24567891011171819202122232425" displayName="Таблица24567891011171819202122232425" ref="A2:F30" totalsRowCount="1" headerRowDxfId="430" dataDxfId="429">
  <autoFilter ref="A2:F29"/>
  <sortState ref="A3:G28">
    <sortCondition descending="1" ref="B1:B27"/>
  </sortState>
  <tableColumns count="6">
    <tableColumn id="1" name="№ п/п" totalsRowLabel="Всього" dataDxfId="428" totalsRowDxfId="9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27" totalsRowDxfId="9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26" totalsRowDxfId="90"/>
    <tableColumn id="4" name="Проти" totalsRowFunction="sum" dataDxfId="425" totalsRowDxfId="89"/>
    <tableColumn id="5" name="Утрим" totalsRowFunction="sum" dataDxfId="424" totalsRowDxfId="88"/>
    <tableColumn id="6" name="не голосували" totalsRowFunction="sum" dataDxfId="423" totalsRowDxfId="8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:F30" totalsRowCount="1" headerRowDxfId="566" dataDxfId="565">
  <autoFilter ref="A2:F29"/>
  <sortState ref="A2:G27">
    <sortCondition descending="1" ref="B1:B27"/>
  </sortState>
  <tableColumns count="6">
    <tableColumn id="1" name="№ п/п" totalsRowLabel="Всього" dataDxfId="564" totalsRowDxfId="194"/>
    <tableColumn id="2" name="Прізвище, власне ім’я (усі власні імена), по батькові (за наявності) обраного депутата" dataDxfId="563" totalsRowDxfId="19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62" totalsRowDxfId="192"/>
    <tableColumn id="4" name="Проти" totalsRowFunction="sum" dataDxfId="561" totalsRowDxfId="191"/>
    <tableColumn id="5" name="Утрим" totalsRowFunction="sum" dataDxfId="560" totalsRowDxfId="190"/>
    <tableColumn id="6" name="не голосували" totalsRowFunction="sum" dataDxfId="559" totalsRowDxfId="189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5" name="Таблица2456789101117181920212223242526" displayName="Таблица2456789101117181920212223242526" ref="A2:F30" totalsRowCount="1" headerRowDxfId="422" dataDxfId="421">
  <autoFilter ref="A2:F29"/>
  <sortState ref="A3:G28">
    <sortCondition descending="1" ref="B1:B27"/>
  </sortState>
  <tableColumns count="6">
    <tableColumn id="1" name="№ п/п" totalsRowLabel="Всього" dataDxfId="420" totalsRowDxfId="8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19" totalsRowDxfId="8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18" totalsRowDxfId="84"/>
    <tableColumn id="4" name="Проти" totalsRowFunction="sum" dataDxfId="417" totalsRowDxfId="83"/>
    <tableColumn id="5" name="Утрим" totalsRowFunction="sum" dataDxfId="416" totalsRowDxfId="82"/>
    <tableColumn id="6" name="не голосували" totalsRowFunction="sum" dataDxfId="415" totalsRowDxfId="81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6" name="Таблица245678910111718192021222324252627" displayName="Таблица245678910111718192021222324252627" ref="A2:F30" totalsRowCount="1" headerRowDxfId="414" dataDxfId="413">
  <autoFilter ref="A2:F29"/>
  <sortState ref="A3:G28">
    <sortCondition descending="1" ref="B1:B27"/>
  </sortState>
  <tableColumns count="6">
    <tableColumn id="1" name="№ п/п" totalsRowLabel="Всього" dataDxfId="412" totalsRowDxfId="8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11" totalsRowDxfId="7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10" totalsRowDxfId="78"/>
    <tableColumn id="4" name="Проти" totalsRowFunction="sum" dataDxfId="409" totalsRowDxfId="77"/>
    <tableColumn id="5" name="Утрим" totalsRowFunction="sum" dataDxfId="408" totalsRowDxfId="76"/>
    <tableColumn id="6" name="не голосували" totalsRowFunction="sum" dataDxfId="407" totalsRowDxfId="75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7" name="Таблица24567891011171819202122232425262728" displayName="Таблица24567891011171819202122232425262728" ref="A2:F30" totalsRowCount="1" headerRowDxfId="406" dataDxfId="405">
  <autoFilter ref="A2:F29"/>
  <sortState ref="A3:G28">
    <sortCondition descending="1" ref="B1:B27"/>
  </sortState>
  <tableColumns count="6">
    <tableColumn id="1" name="№ п/п" totalsRowLabel="Всього" dataDxfId="404" totalsRowDxfId="7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403" totalsRowDxfId="7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402" totalsRowDxfId="72"/>
    <tableColumn id="4" name="Проти" totalsRowFunction="sum" dataDxfId="401" totalsRowDxfId="71"/>
    <tableColumn id="5" name="Утрим" totalsRowFunction="sum" dataDxfId="400" totalsRowDxfId="70"/>
    <tableColumn id="6" name="не голосували" totalsRowFunction="sum" dataDxfId="399" totalsRowDxfId="69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8" name="Таблица2456789101117181920212223242526272829" displayName="Таблица2456789101117181920212223242526272829" ref="A2:F30" totalsRowCount="1" headerRowDxfId="390" dataDxfId="389">
  <autoFilter ref="A2:F29"/>
  <sortState ref="A3:G28">
    <sortCondition descending="1" ref="B1:B27"/>
  </sortState>
  <tableColumns count="6">
    <tableColumn id="1" name="№ п/п" totalsRowLabel="Всього" dataDxfId="388" totalsRowDxfId="6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87" totalsRowDxfId="6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86" totalsRowDxfId="66"/>
    <tableColumn id="4" name="Проти" totalsRowFunction="sum" dataDxfId="385" totalsRowDxfId="65"/>
    <tableColumn id="5" name="Утрим" totalsRowFunction="sum" dataDxfId="384" totalsRowDxfId="64"/>
    <tableColumn id="6" name="не голосували" totalsRowFunction="sum" dataDxfId="383" totalsRowDxfId="63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29" name="Таблица245678910111718192021222324252627282930" displayName="Таблица245678910111718192021222324252627282930" ref="A2:F30" totalsRowCount="1" headerRowDxfId="382" dataDxfId="381">
  <autoFilter ref="A2:F29"/>
  <sortState ref="A3:G28">
    <sortCondition descending="1" ref="B1:B27"/>
  </sortState>
  <tableColumns count="6">
    <tableColumn id="1" name="№ п/п" totalsRowLabel="Всього" dataDxfId="380" totalsRowDxfId="6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79" totalsRowDxfId="6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78" totalsRowDxfId="60"/>
    <tableColumn id="4" name="Проти" totalsRowFunction="sum" dataDxfId="377" totalsRowDxfId="59"/>
    <tableColumn id="5" name="Утрим" totalsRowFunction="sum" dataDxfId="376" totalsRowDxfId="58"/>
    <tableColumn id="6" name="не голосували" totalsRowFunction="sum" dataDxfId="375" totalsRowDxfId="57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30" name="Таблица24567891011171819202122232425262728293031" displayName="Таблица24567891011171819202122232425262728293031" ref="A2:F30" totalsRowCount="1" headerRowDxfId="374" dataDxfId="373">
  <autoFilter ref="A2:F29"/>
  <sortState ref="A3:G28">
    <sortCondition descending="1" ref="B1:B27"/>
  </sortState>
  <tableColumns count="6">
    <tableColumn id="1" name="№ п/п" totalsRowLabel="Всього" dataDxfId="372" totalsRowDxfId="5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71" totalsRowDxfId="5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70" totalsRowDxfId="54"/>
    <tableColumn id="4" name="Проти" totalsRowFunction="sum" dataDxfId="369" totalsRowDxfId="53"/>
    <tableColumn id="5" name="Утрим" totalsRowFunction="sum" dataDxfId="368" totalsRowDxfId="52"/>
    <tableColumn id="6" name="не голосували" totalsRowFunction="sum" dataDxfId="367" totalsRowDxfId="51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31" name="Таблица2456789101117181920212223242526272829303132" displayName="Таблица2456789101117181920212223242526272829303132" ref="A2:F30" totalsRowCount="1" headerRowDxfId="366" dataDxfId="365">
  <autoFilter ref="A2:F29"/>
  <sortState ref="A3:G28">
    <sortCondition descending="1" ref="B1:B27"/>
  </sortState>
  <tableColumns count="6">
    <tableColumn id="1" name="№ п/п" totalsRowLabel="Всього" dataDxfId="364" totalsRowDxfId="5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63" totalsRowDxfId="4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62" totalsRowDxfId="48"/>
    <tableColumn id="4" name="Проти" totalsRowFunction="sum" dataDxfId="361" totalsRowDxfId="47"/>
    <tableColumn id="5" name="Утрим" totalsRowFunction="sum" dataDxfId="360" totalsRowDxfId="46"/>
    <tableColumn id="6" name="не голосували" totalsRowFunction="sum" dataDxfId="359" totalsRowDxfId="45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32" name="Таблица245678910111718192021222324252627282930313233" displayName="Таблица245678910111718192021222324252627282930313233" ref="A2:F30" totalsRowCount="1" headerRowDxfId="358" dataDxfId="357">
  <autoFilter ref="A2:F29"/>
  <sortState ref="A3:G28">
    <sortCondition descending="1" ref="B1:B27"/>
  </sortState>
  <tableColumns count="6">
    <tableColumn id="1" name="№ п/п" totalsRowLabel="Всього" dataDxfId="356" totalsRowDxfId="4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55" totalsRowDxfId="4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54" totalsRowDxfId="42"/>
    <tableColumn id="4" name="Проти" totalsRowFunction="sum" dataDxfId="353" totalsRowDxfId="41"/>
    <tableColumn id="5" name="Утрим" totalsRowFunction="sum" dataDxfId="352" totalsRowDxfId="40"/>
    <tableColumn id="6" name="не голосували" totalsRowFunction="sum" dataDxfId="351" totalsRowDxfId="39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33" name="Таблица24567891011171819202122232425262728293031323334" displayName="Таблица24567891011171819202122232425262728293031323334" ref="A2:F30" totalsRowCount="1" headerRowDxfId="398" dataDxfId="397">
  <autoFilter ref="A2:F29"/>
  <sortState ref="A3:G28">
    <sortCondition descending="1" ref="B1:B27"/>
  </sortState>
  <tableColumns count="6">
    <tableColumn id="1" name="№ п/п" totalsRowLabel="Всього" dataDxfId="396" totalsRowDxfId="3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95" totalsRowDxfId="3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94" totalsRowDxfId="36"/>
    <tableColumn id="4" name="Проти" totalsRowFunction="sum" dataDxfId="393" totalsRowDxfId="35"/>
    <tableColumn id="5" name="Утрим" totalsRowFunction="sum" dataDxfId="392" totalsRowDxfId="34"/>
    <tableColumn id="6" name="не голосували" totalsRowFunction="sum" dataDxfId="391" totalsRowDxfId="33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34" name="Таблица2456789101117181920212223242526272829303132333435" displayName="Таблица2456789101117181920212223242526272829303132333435" ref="A2:F23" totalsRowCount="1" headerRowDxfId="350" dataDxfId="349">
  <autoFilter ref="A2:F22"/>
  <sortState ref="A3:G28">
    <sortCondition descending="1" ref="B1:B27"/>
  </sortState>
  <tableColumns count="6">
    <tableColumn id="1" name="№ п/п" totalsRowLabel="Всього" dataDxfId="348" totalsRowDxfId="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47" totalsRowDxfId="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46" totalsRowDxfId="6"/>
    <tableColumn id="4" name="Проти" totalsRowFunction="sum" dataDxfId="345" totalsRowDxfId="5"/>
    <tableColumn id="5" name="Утрим" totalsRowFunction="sum" dataDxfId="344" totalsRowDxfId="4"/>
    <tableColumn id="6" name="не голосували" totalsRowFunction="sum" dataDxfId="343" totalsRowDxfId="3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Таблица24" displayName="Таблица24" ref="A2:F30" totalsRowCount="1" headerRowDxfId="558" dataDxfId="557">
  <autoFilter ref="A2:F29"/>
  <sortState ref="A3:G28">
    <sortCondition descending="1" ref="B1:B27"/>
  </sortState>
  <tableColumns count="6">
    <tableColumn id="1" name="№ п/п" totalsRowLabel="Всього" dataDxfId="556" totalsRowDxfId="18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55" totalsRowDxfId="18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54" totalsRowDxfId="186"/>
    <tableColumn id="4" name="Проти" totalsRowFunction="sum" dataDxfId="553" totalsRowDxfId="185"/>
    <tableColumn id="5" name="Утрим" totalsRowFunction="sum" dataDxfId="552" totalsRowDxfId="184"/>
    <tableColumn id="6" name="не голосували" totalsRowFunction="sum" dataDxfId="551" totalsRowDxfId="183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35" name="Таблица245678910111718192021222324252627282930313233343536" displayName="Таблица245678910111718192021222324252627282930313233343536" ref="A2:F30" totalsRowCount="1" headerRowDxfId="342" dataDxfId="341">
  <autoFilter ref="A2:F29"/>
  <sortState ref="A3:G28">
    <sortCondition descending="1" ref="B1:B27"/>
  </sortState>
  <tableColumns count="6">
    <tableColumn id="1" name="№ п/п" totalsRowLabel="Всього" dataDxfId="340" totalsRowDxfId="3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39" totalsRowDxfId="3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38" totalsRowDxfId="30"/>
    <tableColumn id="4" name="Проти" totalsRowFunction="sum" dataDxfId="337" totalsRowDxfId="29"/>
    <tableColumn id="5" name="Утрим" totalsRowFunction="sum" dataDxfId="336" totalsRowDxfId="28"/>
    <tableColumn id="6" name="не голосували" totalsRowFunction="sum" dataDxfId="335" totalsRowDxfId="27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36" name="Таблица24567891011171819202122232425262728293031323334353637" displayName="Таблица24567891011171819202122232425262728293031323334353637" ref="A2:F30" totalsRowCount="1" headerRowDxfId="334" dataDxfId="333">
  <autoFilter ref="A2:F29"/>
  <sortState ref="A3:G28">
    <sortCondition descending="1" ref="B1:B27"/>
  </sortState>
  <tableColumns count="6">
    <tableColumn id="1" name="№ п/п" totalsRowLabel="Всього" dataDxfId="332" totalsRowDxfId="2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31" totalsRowDxfId="2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30" totalsRowDxfId="24"/>
    <tableColumn id="4" name="Проти" totalsRowFunction="sum" dataDxfId="329" totalsRowDxfId="23"/>
    <tableColumn id="5" name="Утрим" totalsRowFunction="sum" dataDxfId="328" totalsRowDxfId="22"/>
    <tableColumn id="6" name="не голосували" totalsRowFunction="sum" dataDxfId="327" totalsRowDxfId="21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37" name="Таблица2456789101117181920212223242526272829303132333435363738" displayName="Таблица2456789101117181920212223242526272829303132333435363738" ref="A2:F30" totalsRowCount="1" headerRowDxfId="326" dataDxfId="325">
  <autoFilter ref="A2:F29"/>
  <sortState ref="A3:G28">
    <sortCondition descending="1" ref="B1:B27"/>
  </sortState>
  <tableColumns count="6">
    <tableColumn id="1" name="№ п/п" totalsRowLabel="Всього" dataDxfId="324" totalsRowDxfId="2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23" totalsRowDxfId="1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22" totalsRowDxfId="18"/>
    <tableColumn id="4" name="Проти" totalsRowFunction="sum" dataDxfId="321" totalsRowDxfId="17"/>
    <tableColumn id="5" name="Утрим" totalsRowFunction="sum" dataDxfId="320" totalsRowDxfId="16"/>
    <tableColumn id="6" name="не голосували" totalsRowFunction="sum" dataDxfId="319" totalsRowDxfId="15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38" name="Таблица245678910111718192021222324252627282930313233343536373839" displayName="Таблица245678910111718192021222324252627282930313233343536373839" ref="A2:F30" totalsRowCount="1" headerRowDxfId="318" dataDxfId="317">
  <autoFilter ref="A2:F29"/>
  <sortState ref="A3:G28">
    <sortCondition descending="1" ref="B1:B27"/>
  </sortState>
  <tableColumns count="6">
    <tableColumn id="1" name="№ п/п" totalsRowLabel="Всього" dataDxfId="316" totalsRowDxfId="1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15" totalsRowDxfId="1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14" totalsRowDxfId="12"/>
    <tableColumn id="4" name="Проти" totalsRowFunction="sum" dataDxfId="313" totalsRowDxfId="11"/>
    <tableColumn id="5" name="Утрим" totalsRowFunction="sum" dataDxfId="312" totalsRowDxfId="10"/>
    <tableColumn id="6" name="не голосували" totalsRowFunction="sum" dataDxfId="311" totalsRowDxfId="9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39" name="Таблица24567891011171819202122232425262728293031323334353637383940" displayName="Таблица24567891011171819202122232425262728293031323334353637383940" ref="A2:F30" totalsRowCount="1" headerRowDxfId="310" dataDxfId="309">
  <autoFilter ref="A2:F29"/>
  <sortState ref="A3:G28">
    <sortCondition descending="1" ref="B1:B27"/>
  </sortState>
  <tableColumns count="6">
    <tableColumn id="1" name="№ п/п" totalsRowLabel="Всього" dataDxfId="308" totalsRowDxfId="307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306" totalsRowDxfId="30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304" totalsRowDxfId="303"/>
    <tableColumn id="4" name="Проти" totalsRowFunction="sum" dataDxfId="302" totalsRowDxfId="301"/>
    <tableColumn id="5" name="Утрим" totalsRowFunction="sum" dataDxfId="300" totalsRowDxfId="299"/>
    <tableColumn id="6" name="не голосували" totalsRowFunction="sum" dataDxfId="298" totalsRowDxfId="297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40" name="Таблица2456789101117181920212223242526272829303132333435363738394041" displayName="Таблица2456789101117181920212223242526272829303132333435363738394041" ref="A2:F30" totalsRowCount="1" headerRowDxfId="296" dataDxfId="295">
  <autoFilter ref="A2:F29"/>
  <sortState ref="A3:G28">
    <sortCondition descending="1" ref="B1:B27"/>
  </sortState>
  <tableColumns count="6">
    <tableColumn id="1" name="№ п/п" totalsRowLabel="Всього" dataDxfId="294" totalsRowDxfId="293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92" totalsRowDxfId="29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90" totalsRowDxfId="289"/>
    <tableColumn id="4" name="Проти" totalsRowFunction="sum" dataDxfId="288" totalsRowDxfId="287"/>
    <tableColumn id="5" name="Утрим" totalsRowFunction="sum" dataDxfId="286" totalsRowDxfId="285"/>
    <tableColumn id="6" name="не голосували" totalsRowFunction="sum" dataDxfId="284" totalsRowDxfId="283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41" name="Таблица245678910111718192021222324252627282930313233343536373839404142" displayName="Таблица245678910111718192021222324252627282930313233343536373839404142" ref="A2:F30" totalsRowCount="1" headerRowDxfId="282" dataDxfId="281">
  <autoFilter ref="A2:F29"/>
  <sortState ref="A3:G28">
    <sortCondition descending="1" ref="B1:B27"/>
  </sortState>
  <tableColumns count="6">
    <tableColumn id="1" name="№ п/п" totalsRowLabel="Всього" dataDxfId="280" totalsRowDxfId="279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78" totalsRowDxfId="27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76" totalsRowDxfId="275"/>
    <tableColumn id="4" name="Проти" totalsRowFunction="sum" dataDxfId="274" totalsRowDxfId="273"/>
    <tableColumn id="5" name="Утрим" totalsRowFunction="sum" dataDxfId="272" totalsRowDxfId="271"/>
    <tableColumn id="6" name="не голосували" totalsRowFunction="sum" dataDxfId="270" totalsRowDxfId="269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11" name="Таблица256789101112" displayName="Таблица256789101112" ref="A2:F30" totalsRowCount="1" headerRowDxfId="268" dataDxfId="267">
  <autoFilter ref="A2:F29"/>
  <sortState ref="A2:G27">
    <sortCondition descending="1" ref="B1:B27"/>
  </sortState>
  <tableColumns count="6">
    <tableColumn id="1" name="№ п/п" totalsRowLabel="Всього" dataDxfId="266" totalsRowDxfId="265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64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63" totalsRowDxfId="262"/>
    <tableColumn id="4" name="Проти" totalsRowFunction="sum" dataDxfId="261" totalsRowDxfId="260"/>
    <tableColumn id="5" name="Утрим" totalsRowFunction="sum" dataDxfId="259" totalsRowDxfId="258"/>
    <tableColumn id="6" name="не голосували" totalsRowFunction="sum" dataDxfId="257" totalsRowDxfId="256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14" name="Таблица256789101112131415" displayName="Таблица256789101112131415" ref="A2:F30" totalsRowCount="1" headerRowDxfId="255" dataDxfId="254">
  <autoFilter ref="A2:F29"/>
  <sortState ref="A2:G27">
    <sortCondition descending="1" ref="B1:B27"/>
  </sortState>
  <tableColumns count="6">
    <tableColumn id="1" name="№ п/п" totalsRowLabel="Всього" dataDxfId="253" totalsRowDxfId="25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51" totalsRowDxfId="250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49" totalsRowDxfId="248"/>
    <tableColumn id="4" name="Проти" totalsRowFunction="sum" dataDxfId="247" totalsRowDxfId="246"/>
    <tableColumn id="5" name="Утрим" totalsRowFunction="sum" dataDxfId="245" totalsRowDxfId="244"/>
    <tableColumn id="6" name="не голосували" totalsRowFunction="sum" dataDxfId="243" totalsRowDxfId="242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13" name="Таблица2567891011121314" displayName="Таблица2567891011121314" ref="A2:F30" totalsRowCount="1" headerRowDxfId="241" dataDxfId="240">
  <autoFilter ref="A2:F29"/>
  <sortState ref="A2:G27">
    <sortCondition descending="1" ref="B1:B27"/>
  </sortState>
  <tableColumns count="6">
    <tableColumn id="1" name="№ п/п" totalsRowLabel="Всього" dataDxfId="239" totalsRowDxfId="23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37" totalsRowDxfId="236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35" totalsRowDxfId="234"/>
    <tableColumn id="4" name="Проти" totalsRowFunction="sum" dataDxfId="233" totalsRowDxfId="232"/>
    <tableColumn id="5" name="Утрим" totalsRowFunction="sum" dataDxfId="231" totalsRowDxfId="230"/>
    <tableColumn id="6" name="не голосували" totalsRowFunction="sum" dataDxfId="229" totalsRowDxfId="228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Таблица245" displayName="Таблица245" ref="A2:F30" totalsRowCount="1" headerRowDxfId="550" dataDxfId="549">
  <autoFilter ref="A2:F29"/>
  <sortState ref="A3:G28">
    <sortCondition descending="1" ref="B1:B27"/>
  </sortState>
  <tableColumns count="6">
    <tableColumn id="1" name="№ п/п" totalsRowLabel="Всього" dataDxfId="548" totalsRowDxfId="18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47" totalsRowDxfId="18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46" totalsRowDxfId="180"/>
    <tableColumn id="4" name="Проти" totalsRowFunction="sum" dataDxfId="545" totalsRowDxfId="179"/>
    <tableColumn id="5" name="Утрим" totalsRowFunction="sum" dataDxfId="544" totalsRowDxfId="178"/>
    <tableColumn id="6" name="не голосували" totalsRowFunction="sum" dataDxfId="543" totalsRowDxfId="177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15" name="Таблица2567891011121316" displayName="Таблица2567891011121316" ref="A2:F30" totalsRowCount="1" headerRowDxfId="227" dataDxfId="226">
  <autoFilter ref="A2:F29"/>
  <sortState ref="A2:G27">
    <sortCondition descending="1" ref="B1:B27"/>
  </sortState>
  <tableColumns count="6">
    <tableColumn id="1" name="№ п/п" totalsRowLabel="Всього" dataDxfId="225" totalsRowDxfId="22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23" totalsRowDxfId="222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21" totalsRowDxfId="220"/>
    <tableColumn id="4" name="Проти" totalsRowFunction="sum" dataDxfId="219" totalsRowDxfId="218"/>
    <tableColumn id="5" name="Утрим" totalsRowFunction="sum" dataDxfId="217" totalsRowDxfId="216"/>
    <tableColumn id="6" name="не голосували" totalsRowFunction="sum" dataDxfId="215" totalsRowDxfId="214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12" name="Таблица25678910111213" displayName="Таблица25678910111213" ref="A2:F30" totalsRowCount="1" headerRowDxfId="213" dataDxfId="212">
  <autoFilter ref="A2:F29"/>
  <sortState ref="A2:G27">
    <sortCondition descending="1" ref="B1:B27"/>
  </sortState>
  <tableColumns count="6">
    <tableColumn id="1" name="№ п/п" totalsRowLabel="Всього" dataDxfId="211" totalsRowDxfId="21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209" totalsRowDxfId="208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207" totalsRowDxfId="206"/>
    <tableColumn id="4" name="Проти" totalsRowFunction="sum" dataDxfId="205" totalsRowDxfId="204"/>
    <tableColumn id="5" name="Утрим" totalsRowFunction="sum" dataDxfId="203" totalsRowDxfId="202"/>
    <tableColumn id="6" name="не голосували" totalsRowFunction="sum" dataDxfId="201" totalsRowDxfId="200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Таблица2456" displayName="Таблица2456" ref="A2:F30" totalsRowCount="1" headerRowDxfId="542" dataDxfId="541">
  <autoFilter ref="A2:F29"/>
  <sortState ref="A3:G28">
    <sortCondition descending="1" ref="B1:B27"/>
  </sortState>
  <tableColumns count="6">
    <tableColumn id="1" name="№ п/п" totalsRowLabel="Всього" dataDxfId="540" totalsRowDxfId="176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39" totalsRowDxfId="175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38" totalsRowDxfId="174"/>
    <tableColumn id="4" name="Проти" totalsRowFunction="sum" dataDxfId="537" totalsRowDxfId="173"/>
    <tableColumn id="5" name="Утрим" totalsRowFunction="sum" dataDxfId="536" totalsRowDxfId="172"/>
    <tableColumn id="6" name="не голосували" totalsRowFunction="sum" dataDxfId="535" totalsRowDxfId="171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6" name="Таблица24567" displayName="Таблица24567" ref="A2:F30" totalsRowCount="1" headerRowDxfId="534" dataDxfId="533">
  <autoFilter ref="A2:F29"/>
  <sortState ref="A3:G28">
    <sortCondition descending="1" ref="B1:B27"/>
  </sortState>
  <tableColumns count="6">
    <tableColumn id="1" name="№ п/п" totalsRowLabel="Всього" dataDxfId="532" totalsRowDxfId="170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31" totalsRowDxfId="169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30" totalsRowDxfId="168"/>
    <tableColumn id="4" name="Проти" totalsRowFunction="sum" dataDxfId="529" totalsRowDxfId="167"/>
    <tableColumn id="5" name="Утрим" totalsRowFunction="sum" dataDxfId="528" totalsRowDxfId="166"/>
    <tableColumn id="6" name="не голосували" totalsRowFunction="sum" dataDxfId="527" totalsRowDxfId="165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7" name="Таблица245678" displayName="Таблица245678" ref="A2:F30" totalsRowCount="1" headerRowDxfId="526" dataDxfId="525">
  <autoFilter ref="A2:F29"/>
  <sortState ref="A3:G28">
    <sortCondition descending="1" ref="B1:B27"/>
  </sortState>
  <tableColumns count="6">
    <tableColumn id="1" name="№ п/п" totalsRowLabel="Всього" dataDxfId="524" totalsRowDxfId="164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23" totalsRowDxfId="163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22" totalsRowDxfId="162"/>
    <tableColumn id="4" name="Проти" totalsRowFunction="sum" dataDxfId="521" totalsRowDxfId="161"/>
    <tableColumn id="5" name="Утрим" totalsRowFunction="sum" dataDxfId="520" totalsRowDxfId="160"/>
    <tableColumn id="6" name="не голосували" totalsRowFunction="sum" dataDxfId="519" totalsRowDxfId="159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8" name="Таблица2456789" displayName="Таблица2456789" ref="A2:F30" totalsRowCount="1" headerRowDxfId="518" dataDxfId="517">
  <autoFilter ref="A2:F29"/>
  <sortState ref="A3:G28">
    <sortCondition descending="1" ref="B1:B27"/>
  </sortState>
  <tableColumns count="6">
    <tableColumn id="1" name="№ п/п" totalsRowLabel="Всього" dataDxfId="516" totalsRowDxfId="158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15" totalsRowDxfId="157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14" totalsRowDxfId="156"/>
    <tableColumn id="4" name="Проти" totalsRowFunction="sum" dataDxfId="513" totalsRowDxfId="155"/>
    <tableColumn id="5" name="Утрим" totalsRowFunction="sum" dataDxfId="512" totalsRowDxfId="154"/>
    <tableColumn id="6" name="не голосували" totalsRowFunction="sum" dataDxfId="511" totalsRowDxfId="153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9" name="Таблица245678910" displayName="Таблица245678910" ref="A2:F30" totalsRowCount="1" headerRowDxfId="510" dataDxfId="509">
  <autoFilter ref="A2:F29"/>
  <sortState ref="A3:G28">
    <sortCondition descending="1" ref="B1:B27"/>
  </sortState>
  <tableColumns count="6">
    <tableColumn id="1" name="№ п/п" totalsRowLabel="Всього" dataDxfId="508" totalsRowDxfId="152">
      <calculatedColumnFormula>IF(ISBLANK(B3),"",COUNTA($B$3:B3))</calculatedColumnFormula>
    </tableColumn>
    <tableColumn id="2" name="Прізвище, власне ім’я (усі власні імена), по батькові (за наявності) обраного депутата" dataDxfId="507" totalsRowDxfId="151">
      <calculatedColumnFormula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calculatedColumnFormula>
    </tableColumn>
    <tableColumn id="3" name="За" totalsRowFunction="sum" dataDxfId="506" totalsRowDxfId="150"/>
    <tableColumn id="4" name="Проти" totalsRowFunction="sum" dataDxfId="505" totalsRowDxfId="149"/>
    <tableColumn id="5" name="Утрим" totalsRowFunction="sum" dataDxfId="504" totalsRowDxfId="148"/>
    <tableColumn id="6" name="не голосували" totalsRowFunction="sum" dataDxfId="503" totalsRowDxfId="147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view="pageBreakPreview" zoomScale="115" zoomScaleNormal="100" zoomScaleSheetLayoutView="115" workbookViewId="0">
      <selection activeCell="C7" sqref="C7"/>
    </sheetView>
  </sheetViews>
  <sheetFormatPr defaultRowHeight="15" x14ac:dyDescent="0.25"/>
  <cols>
    <col min="3" max="3" width="44.140625" customWidth="1"/>
    <col min="4" max="4" width="11.85546875" customWidth="1"/>
    <col min="5" max="5" width="11.42578125" bestFit="1" customWidth="1"/>
    <col min="6" max="6" width="25.28515625" customWidth="1"/>
  </cols>
  <sheetData>
    <row r="2" spans="1:6" ht="35.25" thickBot="1" x14ac:dyDescent="0.3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t="s">
        <v>17</v>
      </c>
    </row>
    <row r="3" spans="1:6" ht="16.5" thickBot="1" x14ac:dyDescent="0.3">
      <c r="A3" s="6">
        <f>IF(ISBLANK(F3),"",COUNTA($F$3:F3))</f>
        <v>1</v>
      </c>
      <c r="B3" s="7"/>
      <c r="C3" s="52" t="s">
        <v>15</v>
      </c>
      <c r="D3" s="8" t="s">
        <v>6</v>
      </c>
      <c r="E3" s="17">
        <f>IF(Таблица1[[#This Row],[явка]]="прибув",1,"")</f>
        <v>1</v>
      </c>
      <c r="F3" s="49" t="s">
        <v>16</v>
      </c>
    </row>
    <row r="4" spans="1:6" ht="16.5" thickBot="1" x14ac:dyDescent="0.3">
      <c r="A4" s="6">
        <f>IF(ISBLANK(B4),"",COUNTA($B$3:B4))</f>
        <v>1</v>
      </c>
      <c r="B4" s="7">
        <v>5</v>
      </c>
      <c r="C4" s="52" t="s">
        <v>30</v>
      </c>
      <c r="D4" s="8" t="s">
        <v>6</v>
      </c>
      <c r="E4" s="8">
        <f>IF(Таблица1[[#This Row],[явка]]="прибув",1,"")</f>
        <v>1</v>
      </c>
      <c r="F4" s="19"/>
    </row>
    <row r="5" spans="1:6" ht="16.5" thickBot="1" x14ac:dyDescent="0.3">
      <c r="A5" s="6">
        <f>IF(ISBLANK(B5),"",COUNTA($B$3:B5))</f>
        <v>2</v>
      </c>
      <c r="B5" s="7">
        <v>19</v>
      </c>
      <c r="C5" s="52" t="s">
        <v>42</v>
      </c>
      <c r="D5" s="8" t="s">
        <v>6</v>
      </c>
      <c r="E5" s="8">
        <f>IF(Таблица1[[#This Row],[явка]]="прибув",1,"")</f>
        <v>1</v>
      </c>
      <c r="F5" s="19"/>
    </row>
    <row r="6" spans="1:6" ht="16.5" thickBot="1" x14ac:dyDescent="0.3">
      <c r="A6" s="6">
        <f>IF(ISBLANK(B6),"",COUNTA($B$3:B6))</f>
        <v>3</v>
      </c>
      <c r="B6" s="7">
        <v>18</v>
      </c>
      <c r="C6" s="52" t="s">
        <v>41</v>
      </c>
      <c r="D6" s="8" t="s">
        <v>6</v>
      </c>
      <c r="E6" s="8">
        <f>IF(Таблица1[[#This Row],[явка]]="прибув",1,"")</f>
        <v>1</v>
      </c>
      <c r="F6" s="19"/>
    </row>
    <row r="7" spans="1:6" ht="16.5" thickBot="1" x14ac:dyDescent="0.3">
      <c r="A7" s="6">
        <f>IF(ISBLANK(B7),"",COUNTA($B$3:B7))</f>
        <v>4</v>
      </c>
      <c r="B7" s="7">
        <v>3</v>
      </c>
      <c r="C7" s="52" t="s">
        <v>28</v>
      </c>
      <c r="D7" s="8" t="s">
        <v>6</v>
      </c>
      <c r="E7" s="8">
        <f>IF(Таблица1[[#This Row],[явка]]="прибув",1,"")</f>
        <v>1</v>
      </c>
      <c r="F7" s="19"/>
    </row>
    <row r="8" spans="1:6" ht="16.5" thickBot="1" x14ac:dyDescent="0.3">
      <c r="A8" s="6">
        <f>IF(ISBLANK(B8),"",COUNTA($B$3:B8))</f>
        <v>5</v>
      </c>
      <c r="B8" s="7">
        <v>24</v>
      </c>
      <c r="C8" s="52" t="s">
        <v>47</v>
      </c>
      <c r="D8" s="8" t="s">
        <v>6</v>
      </c>
      <c r="E8" s="8">
        <f>IF(Таблица1[[#This Row],[явка]]="прибув",1,"")</f>
        <v>1</v>
      </c>
      <c r="F8" s="19"/>
    </row>
    <row r="9" spans="1:6" ht="16.5" thickBot="1" x14ac:dyDescent="0.3">
      <c r="A9" s="6">
        <f>IF(ISBLANK(B9),"",COUNTA($B$3:B9))</f>
        <v>6</v>
      </c>
      <c r="B9" s="7">
        <v>8</v>
      </c>
      <c r="C9" s="52" t="s">
        <v>32</v>
      </c>
      <c r="D9" s="8" t="s">
        <v>6</v>
      </c>
      <c r="E9" s="8">
        <f>IF(Таблица1[[#This Row],[явка]]="прибув",1,"")</f>
        <v>1</v>
      </c>
      <c r="F9" s="19"/>
    </row>
    <row r="10" spans="1:6" ht="16.5" thickBot="1" x14ac:dyDescent="0.3">
      <c r="A10" s="6">
        <f>IF(ISBLANK(B10),"",COUNTA($B$3:B10))</f>
        <v>7</v>
      </c>
      <c r="B10" s="7">
        <v>21</v>
      </c>
      <c r="C10" s="52" t="s">
        <v>44</v>
      </c>
      <c r="D10" s="8" t="s">
        <v>6</v>
      </c>
      <c r="E10" s="8">
        <f>IF(Таблица1[[#This Row],[явка]]="прибув",1,"")</f>
        <v>1</v>
      </c>
      <c r="F10" s="19"/>
    </row>
    <row r="11" spans="1:6" ht="16.5" thickBot="1" x14ac:dyDescent="0.3">
      <c r="A11" s="6">
        <f>IF(ISBLANK(B11),"",COUNTA($B$3:B11))</f>
        <v>8</v>
      </c>
      <c r="B11" s="7">
        <v>17</v>
      </c>
      <c r="C11" s="52" t="s">
        <v>40</v>
      </c>
      <c r="D11" s="8" t="s">
        <v>6</v>
      </c>
      <c r="E11" s="8">
        <f>IF(Таблица1[[#This Row],[явка]]="прибув",1,"")</f>
        <v>1</v>
      </c>
      <c r="F11" s="19"/>
    </row>
    <row r="12" spans="1:6" ht="16.5" thickBot="1" x14ac:dyDescent="0.3">
      <c r="A12" s="6">
        <f>IF(ISBLANK(B12),"",COUNTA($B$3:B12))</f>
        <v>9</v>
      </c>
      <c r="B12" s="7">
        <v>6</v>
      </c>
      <c r="C12" s="52" t="s">
        <v>7</v>
      </c>
      <c r="D12" s="8" t="s">
        <v>6</v>
      </c>
      <c r="E12" s="8">
        <f>IF(Таблица1[[#This Row],[явка]]="прибув",1,"")</f>
        <v>1</v>
      </c>
      <c r="F12" s="19"/>
    </row>
    <row r="13" spans="1:6" ht="16.5" thickBot="1" x14ac:dyDescent="0.3">
      <c r="A13" s="6">
        <f>IF(ISBLANK(B13),"",COUNTA($B$3:B13))</f>
        <v>10</v>
      </c>
      <c r="B13" s="7">
        <v>22</v>
      </c>
      <c r="C13" s="52" t="s">
        <v>45</v>
      </c>
      <c r="D13" s="8" t="s">
        <v>6</v>
      </c>
      <c r="E13" s="8">
        <f>IF(Таблица1[[#This Row],[явка]]="прибув",1,"")</f>
        <v>1</v>
      </c>
      <c r="F13" s="19"/>
    </row>
    <row r="14" spans="1:6" ht="16.5" thickBot="1" x14ac:dyDescent="0.3">
      <c r="A14" s="6">
        <f>IF(ISBLANK(B14),"",COUNTA($B$3:B14))</f>
        <v>11</v>
      </c>
      <c r="B14" s="7">
        <v>7</v>
      </c>
      <c r="C14" s="52" t="s">
        <v>31</v>
      </c>
      <c r="D14" s="8" t="s">
        <v>6</v>
      </c>
      <c r="E14" s="8">
        <f>IF(Таблица1[[#This Row],[явка]]="прибув",1,"")</f>
        <v>1</v>
      </c>
      <c r="F14" s="19"/>
    </row>
    <row r="15" spans="1:6" ht="16.5" thickBot="1" x14ac:dyDescent="0.3">
      <c r="A15" s="6">
        <f>IF(ISBLANK(B15),"",COUNTA($B$3:B15))</f>
        <v>12</v>
      </c>
      <c r="B15" s="7">
        <v>26</v>
      </c>
      <c r="C15" s="52" t="s">
        <v>49</v>
      </c>
      <c r="D15" s="8" t="s">
        <v>6</v>
      </c>
      <c r="E15" s="8">
        <f>IF(Таблица1[[#This Row],[явка]]="прибув",1,"")</f>
        <v>1</v>
      </c>
      <c r="F15" s="19"/>
    </row>
    <row r="16" spans="1:6" ht="16.5" thickBot="1" x14ac:dyDescent="0.3">
      <c r="A16" s="6">
        <f>IF(ISBLANK(B16),"",COUNTA($B$3:B16))</f>
        <v>13</v>
      </c>
      <c r="B16" s="7">
        <v>16</v>
      </c>
      <c r="C16" s="52" t="s">
        <v>39</v>
      </c>
      <c r="D16" s="8" t="s">
        <v>6</v>
      </c>
      <c r="E16" s="8">
        <f>IF(Таблица1[[#This Row],[явка]]="прибув",1,"")</f>
        <v>1</v>
      </c>
      <c r="F16" s="19"/>
    </row>
    <row r="17" spans="1:6" ht="16.5" thickBot="1" x14ac:dyDescent="0.3">
      <c r="A17" s="6">
        <f>IF(ISBLANK(B17),"",COUNTA($B$3:B17))</f>
        <v>14</v>
      </c>
      <c r="B17" s="18">
        <v>1</v>
      </c>
      <c r="C17" s="52" t="s">
        <v>5</v>
      </c>
      <c r="D17" s="8" t="s">
        <v>6</v>
      </c>
      <c r="E17" s="8">
        <f>IF(Таблица1[[#This Row],[явка]]="прибув",1,"")</f>
        <v>1</v>
      </c>
      <c r="F17" s="19"/>
    </row>
    <row r="18" spans="1:6" ht="16.5" thickBot="1" x14ac:dyDescent="0.3">
      <c r="A18" s="6">
        <f>IF(ISBLANK(B18),"",COUNTA($B$3:B18))</f>
        <v>15</v>
      </c>
      <c r="B18" s="7">
        <v>12</v>
      </c>
      <c r="C18" s="52" t="s">
        <v>35</v>
      </c>
      <c r="D18" s="8" t="s">
        <v>6</v>
      </c>
      <c r="E18" s="8">
        <f>IF(Таблица1[[#This Row],[явка]]="прибув",1,"")</f>
        <v>1</v>
      </c>
      <c r="F18" s="19"/>
    </row>
    <row r="19" spans="1:6" ht="16.5" thickBot="1" x14ac:dyDescent="0.3">
      <c r="A19" s="6">
        <f>IF(ISBLANK(B19),"",COUNTA($B$3:B19))</f>
        <v>16</v>
      </c>
      <c r="B19" s="7">
        <v>10</v>
      </c>
      <c r="C19" s="52" t="s">
        <v>8</v>
      </c>
      <c r="D19" s="8" t="s">
        <v>6</v>
      </c>
      <c r="E19" s="8">
        <f>IF(Таблица1[[#This Row],[явка]]="прибув",1,"")</f>
        <v>1</v>
      </c>
      <c r="F19" s="19"/>
    </row>
    <row r="20" spans="1:6" ht="16.5" thickBot="1" x14ac:dyDescent="0.3">
      <c r="A20" s="6">
        <f>IF(ISBLANK(B20),"",COUNTA($B$3:B20))</f>
        <v>17</v>
      </c>
      <c r="B20" s="7">
        <v>25</v>
      </c>
      <c r="C20" s="52" t="s">
        <v>48</v>
      </c>
      <c r="D20" s="8" t="s">
        <v>6</v>
      </c>
      <c r="E20" s="8">
        <f>IF(Таблица1[[#This Row],[явка]]="прибув",1,"")</f>
        <v>1</v>
      </c>
      <c r="F20" s="19"/>
    </row>
    <row r="21" spans="1:6" ht="16.5" thickBot="1" x14ac:dyDescent="0.3">
      <c r="A21" s="6">
        <f>IF(ISBLANK(B21),"",COUNTA($B$3:B21))</f>
        <v>18</v>
      </c>
      <c r="B21" s="7">
        <v>2</v>
      </c>
      <c r="C21" s="52" t="s">
        <v>10</v>
      </c>
      <c r="D21" s="8" t="s">
        <v>6</v>
      </c>
      <c r="E21" s="8">
        <f>IF(Таблица1[[#This Row],[явка]]="прибув",1,"")</f>
        <v>1</v>
      </c>
      <c r="F21" s="19"/>
    </row>
    <row r="22" spans="1:6" ht="16.5" thickBot="1" x14ac:dyDescent="0.3">
      <c r="A22" s="6">
        <f>IF(ISBLANK(B22),"",COUNTA($B$3:B22))</f>
        <v>19</v>
      </c>
      <c r="B22" s="7">
        <v>14</v>
      </c>
      <c r="C22" s="52" t="s">
        <v>37</v>
      </c>
      <c r="D22" s="8" t="s">
        <v>6</v>
      </c>
      <c r="E22" s="8">
        <f>IF(Таблица1[[#This Row],[явка]]="прибув",1,"")</f>
        <v>1</v>
      </c>
      <c r="F22" s="19"/>
    </row>
    <row r="23" spans="1:6" ht="16.5" thickBot="1" x14ac:dyDescent="0.3">
      <c r="A23" s="6">
        <f>IF(ISBLANK(B23),"",COUNTA($B$3:B23))</f>
        <v>20</v>
      </c>
      <c r="B23" s="7">
        <v>23</v>
      </c>
      <c r="C23" s="52" t="s">
        <v>46</v>
      </c>
      <c r="D23" s="8" t="s">
        <v>9</v>
      </c>
      <c r="E23" s="8" t="str">
        <f>IF(Таблица1[[#This Row],[явка]]="прибув",1,"")</f>
        <v/>
      </c>
      <c r="F23" s="19"/>
    </row>
    <row r="24" spans="1:6" ht="16.5" thickBot="1" x14ac:dyDescent="0.3">
      <c r="A24" s="6">
        <f>IF(ISBLANK(B24),"",COUNTA($B$3:B24))</f>
        <v>21</v>
      </c>
      <c r="B24" s="7">
        <v>11</v>
      </c>
      <c r="C24" s="52" t="s">
        <v>34</v>
      </c>
      <c r="D24" s="8" t="s">
        <v>9</v>
      </c>
      <c r="E24" s="8" t="str">
        <f>IF(Таблица1[[#This Row],[явка]]="прибув",1,"")</f>
        <v/>
      </c>
      <c r="F24" s="19"/>
    </row>
    <row r="25" spans="1:6" ht="16.5" thickBot="1" x14ac:dyDescent="0.3">
      <c r="A25" s="6">
        <f>IF(ISBLANK(B25),"",COUNTA($B$3:B25))</f>
        <v>22</v>
      </c>
      <c r="B25" s="7">
        <v>15</v>
      </c>
      <c r="C25" s="52" t="s">
        <v>38</v>
      </c>
      <c r="D25" s="8" t="s">
        <v>9</v>
      </c>
      <c r="E25" s="8" t="str">
        <f>IF(Таблица1[[#This Row],[явка]]="прибув",1,"")</f>
        <v/>
      </c>
      <c r="F25" s="19"/>
    </row>
    <row r="26" spans="1:6" ht="16.5" thickBot="1" x14ac:dyDescent="0.3">
      <c r="A26" s="6">
        <f>IF(ISBLANK(B26),"",COUNTA($B$3:B26))</f>
        <v>23</v>
      </c>
      <c r="B26" s="7">
        <v>4</v>
      </c>
      <c r="C26" s="52" t="s">
        <v>29</v>
      </c>
      <c r="D26" s="8" t="s">
        <v>9</v>
      </c>
      <c r="E26" s="8" t="str">
        <f>IF(Таблица1[[#This Row],[явка]]="прибув",1,"")</f>
        <v/>
      </c>
      <c r="F26" s="19"/>
    </row>
    <row r="27" spans="1:6" ht="16.5" thickBot="1" x14ac:dyDescent="0.3">
      <c r="A27" s="6">
        <f>IF(ISBLANK(B27),"",COUNTA($B$3:B27))</f>
        <v>24</v>
      </c>
      <c r="B27" s="7">
        <v>20</v>
      </c>
      <c r="C27" s="52" t="s">
        <v>43</v>
      </c>
      <c r="D27" s="8" t="s">
        <v>9</v>
      </c>
      <c r="E27" s="8" t="str">
        <f>IF(Таблица1[[#This Row],[явка]]="прибув",1,"")</f>
        <v/>
      </c>
      <c r="F27" s="19"/>
    </row>
    <row r="28" spans="1:6" ht="16.5" thickBot="1" x14ac:dyDescent="0.3">
      <c r="A28" s="6">
        <f>IF(ISBLANK(B28),"",COUNTA($B$3:B28))</f>
        <v>25</v>
      </c>
      <c r="B28" s="7">
        <v>13</v>
      </c>
      <c r="C28" s="52" t="s">
        <v>36</v>
      </c>
      <c r="D28" s="8" t="s">
        <v>9</v>
      </c>
      <c r="E28" s="8" t="str">
        <f>IF(Таблица1[[#This Row],[явка]]="прибув",1,"")</f>
        <v/>
      </c>
      <c r="F28" s="19"/>
    </row>
    <row r="29" spans="1:6" ht="16.5" thickBot="1" x14ac:dyDescent="0.3">
      <c r="A29" s="6">
        <f>IF(ISBLANK(B29),"",COUNTA($B$3:B29))</f>
        <v>26</v>
      </c>
      <c r="B29" s="7">
        <v>9</v>
      </c>
      <c r="C29" s="52" t="s">
        <v>33</v>
      </c>
      <c r="D29" s="8" t="s">
        <v>9</v>
      </c>
      <c r="E29" s="8" t="str">
        <f>IF(Таблица1[[#This Row],[явка]]="прибув",1,"")</f>
        <v/>
      </c>
      <c r="F29" s="19"/>
    </row>
    <row r="30" spans="1:6" ht="15.75" x14ac:dyDescent="0.25">
      <c r="A30" s="34" t="s">
        <v>11</v>
      </c>
      <c r="B30" s="34"/>
      <c r="C30" s="35"/>
      <c r="D30" s="36"/>
      <c r="E30" s="37">
        <f>SUBTOTAL(109,Таблица1[кількість прибувших депутатів])-1</f>
        <v>19</v>
      </c>
    </row>
  </sheetData>
  <sheetProtection selectLockedCells="1" selectUnlockedCells="1"/>
  <pageMargins left="0.7" right="0.7" top="0.75" bottom="0.75" header="0.3" footer="0.3"/>
  <pageSetup paperSize="9" scale="73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дані!$A$1:$A$2</xm:f>
          </x14:formula1>
          <xm:sqref>D3:D29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21.75" customHeight="1" x14ac:dyDescent="0.25">
      <c r="B1" s="47" t="str">
        <f>'Порядок денний '!B9</f>
        <v>Про надання дозволу на розроблення проекту землеустрою щодо відведення земельної ділянки(Бойко)</v>
      </c>
      <c r="C1" s="47"/>
      <c r="D1" s="47"/>
      <c r="E1" s="47"/>
      <c r="F1" s="47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SUBTOTAL(109,Таблица245678910[За])</f>
        <v>20</v>
      </c>
      <c r="D30" s="30">
        <f>SUBTOTAL(109,Таблица245678910[Проти])</f>
        <v>0</v>
      </c>
      <c r="E30" s="30">
        <f>SUBTOTAL(109,Таблица245678910[Утрим])</f>
        <v>0</v>
      </c>
      <c r="F30" s="30">
        <f>SUBTOTAL(109,Таблица245678910[не голосували])</f>
        <v>0</v>
      </c>
    </row>
    <row r="31" spans="1:7" x14ac:dyDescent="0.25">
      <c r="B31" t="str">
        <f>IF(Таблица245678910[[#Totals],[За]]&gt;13,"Рішення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H16" sqref="H16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" customHeight="1" x14ac:dyDescent="0.25">
      <c r="B1" s="45" t="str">
        <f>'Порядок денний '!B10</f>
        <v>Про надання дозволу на розроблення проекту землеустрою щодо відведення земельної ділянки(Лісовський)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>
        <v>1</v>
      </c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>
        <v>1</v>
      </c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>
        <v>1</v>
      </c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>
        <v>1</v>
      </c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>
        <v>1</v>
      </c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>
        <v>1</v>
      </c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>
        <v>1</v>
      </c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>
        <v>1</v>
      </c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>
        <v>1</v>
      </c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>
        <v>1</v>
      </c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SUBTOTAL(109,Таблица24567891011[За])</f>
        <v>4</v>
      </c>
      <c r="D30" s="27">
        <f>SUBTOTAL(109,Таблица24567891011[Проти])</f>
        <v>0</v>
      </c>
      <c r="E30" s="27">
        <f>SUBTOTAL(109,Таблица24567891011[Утрим])</f>
        <v>16</v>
      </c>
      <c r="F30" s="27">
        <f>SUBTOTAL(109,Таблица24567891011[не голосували])</f>
        <v>0</v>
      </c>
    </row>
    <row r="31" spans="1:7" x14ac:dyDescent="0.25">
      <c r="B31" t="str">
        <f>IF(Таблица24567891011[[#Totals],[За]]&gt;13,"Рішення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C22" sqref="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0.75" customHeight="1" x14ac:dyDescent="0.25">
      <c r="B1" s="45" t="str">
        <f>'Порядок денний '!B11</f>
        <v>Про надання дозволу на розроблення проекту землеустрою щодо відведення земельної ділянки (Балаба)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>
        <v>1</v>
      </c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>
        <v>1</v>
      </c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>
        <v>1</v>
      </c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>
        <v>1</v>
      </c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>
        <v>1</v>
      </c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>
        <v>1</v>
      </c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SUBTOTAL(109,Таблица2456789101117[За])</f>
        <v>10</v>
      </c>
      <c r="D30" s="27">
        <f>SUBTOTAL(109,Таблица2456789101117[Проти])</f>
        <v>0</v>
      </c>
      <c r="E30" s="27">
        <f>SUBTOTAL(109,Таблица2456789101117[Утрим])</f>
        <v>10</v>
      </c>
      <c r="F30" s="27">
        <f>SUBTOTAL(109,Таблица2456789101117[не голосували])</f>
        <v>0</v>
      </c>
    </row>
    <row r="31" spans="1:7" x14ac:dyDescent="0.25">
      <c r="B31" t="str">
        <f>IF(Таблица2456789101117[[#Totals],[За]]&gt;13,"Рішення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" customHeight="1" x14ac:dyDescent="0.25">
      <c r="B1" s="45" t="str">
        <f>'Порядок денний '!B12</f>
        <v>Про надання дозволу на розроблення проекту землеустрою щодо відведення земельної ділянки (Гутак)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SUBTOTAL(109,Таблица245678910111718[За])</f>
        <v>20</v>
      </c>
      <c r="D30" s="27">
        <f>SUBTOTAL(109,Таблица245678910111718[Проти])</f>
        <v>0</v>
      </c>
      <c r="E30" s="27">
        <f>SUBTOTAL(109,Таблица245678910111718[Утрим])</f>
        <v>0</v>
      </c>
      <c r="F30" s="27">
        <f>SUBTOTAL(109,Таблица245678910111718[не голосували])</f>
        <v>0</v>
      </c>
    </row>
    <row r="31" spans="1:7" x14ac:dyDescent="0.25">
      <c r="B31" t="str">
        <f>IF(Таблица245678910111718[[#Totals],[За]]&gt;13,"Рішення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7.5" customHeight="1" x14ac:dyDescent="0.25">
      <c r="B1" s="45" t="str">
        <f>'Порядок денний '!B13</f>
        <v>Про надання дозволу на розроблення проекту землеустрою щодо відведення земельної ділянки(Єфременко)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SUBTOTAL(109,Таблица24567891011171819[За])</f>
        <v>20</v>
      </c>
      <c r="D30" s="30">
        <f>SUBTOTAL(109,Таблица24567891011171819[Проти])</f>
        <v>0</v>
      </c>
      <c r="E30" s="30">
        <f>SUBTOTAL(109,Таблица24567891011171819[Утрим])</f>
        <v>0</v>
      </c>
      <c r="F30" s="30">
        <f>SUBTOTAL(109,Таблица24567891011171819[не голосували])</f>
        <v>0</v>
      </c>
    </row>
    <row r="31" spans="1:7" x14ac:dyDescent="0.25">
      <c r="B31" t="str">
        <f>IF(Таблица24567891011171819[[#Totals],[За]]&gt;13,"Рішення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5.25" customHeight="1" x14ac:dyDescent="0.25">
      <c r="B1" s="45" t="str">
        <f>'Порядок денний '!B14</f>
        <v>Про надання дозволу на розроблення проекту землеустрою щодо відведення земельної ділянки (Куркін)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SUBTOTAL(109,Таблица2456789101117181920[За])</f>
        <v>20</v>
      </c>
      <c r="D30" s="30">
        <f>SUBTOTAL(109,Таблица2456789101117181920[Проти])</f>
        <v>0</v>
      </c>
      <c r="E30" s="30">
        <f>SUBTOTAL(109,Таблица2456789101117181920[Утрим])</f>
        <v>0</v>
      </c>
      <c r="F30" s="30">
        <f>SUBTOTAL(109,Таблица2456789101117181920[не голосували])</f>
        <v>0</v>
      </c>
    </row>
    <row r="31" spans="1:7" x14ac:dyDescent="0.25">
      <c r="B31" t="str">
        <f>IF(Таблица2456789101117181920[[#Totals],[За]]&gt;13,"Рішення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9.75" customHeight="1" x14ac:dyDescent="0.25">
      <c r="B1" s="45" t="str">
        <f>'Порядок денний '!B15</f>
        <v>Про надання дозволу на розроблення проекту землеустрою щодо відведення земельної ділянки(Малієнко)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SUBTOTAL(109,Таблица245678910111718192021[За])</f>
        <v>20</v>
      </c>
      <c r="D30" s="30">
        <f>SUBTOTAL(109,Таблица245678910111718192021[Проти])</f>
        <v>0</v>
      </c>
      <c r="E30" s="30">
        <f>SUBTOTAL(109,Таблица245678910111718192021[Утрим])</f>
        <v>0</v>
      </c>
      <c r="F30" s="30">
        <f>SUBTOTAL(109,Таблица245678910111718192021[не голосували])</f>
        <v>0</v>
      </c>
    </row>
    <row r="31" spans="1:7" x14ac:dyDescent="0.25">
      <c r="B31" t="str">
        <f>IF(Таблица245678910111718192021[[#Totals],[За]]&gt;13,"Рішення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28.5" customHeight="1" x14ac:dyDescent="0.25">
      <c r="B1" s="45" t="str">
        <f>'Порядок денний '!B16</f>
        <v>Про надання дозволу на розроблення проекту землеустрою щодо відведення земельної ділянки(Шаркеліс)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SUBTOTAL(109,Таблица24567891011171819202122[За])</f>
        <v>20</v>
      </c>
      <c r="D30" s="30">
        <f>SUBTOTAL(109,Таблица24567891011171819202122[Проти])</f>
        <v>0</v>
      </c>
      <c r="E30" s="30">
        <f>SUBTOTAL(109,Таблица24567891011171819202122[Утрим])</f>
        <v>0</v>
      </c>
      <c r="F30" s="30">
        <f>SUBTOTAL(109,Таблица24567891011171819202122[не голосували])</f>
        <v>0</v>
      </c>
    </row>
    <row r="31" spans="1:7" x14ac:dyDescent="0.25">
      <c r="B31" t="str">
        <f>IF(Таблица24567891011171819202122[[#Totals],[За]]&gt;13,"Рішення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D19" sqref="D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7.5" customHeight="1" x14ac:dyDescent="0.25">
      <c r="B1" s="45" t="str">
        <f>'Порядок денний '!B17</f>
        <v>Про надання дозволу на розроблення проекту землеустрою щодо відведення земельної ділянки(Науменко)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>
        <v>1</v>
      </c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>
        <v>1</v>
      </c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>
        <v>1</v>
      </c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>
        <v>1</v>
      </c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>
        <v>1</v>
      </c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SUBTOTAL(109,Таблица2456789101117181920212223[За])</f>
        <v>12</v>
      </c>
      <c r="D30" s="27">
        <f>SUBTOTAL(109,Таблица2456789101117181920212223[Проти])</f>
        <v>1</v>
      </c>
      <c r="E30" s="27">
        <f>SUBTOTAL(109,Таблица2456789101117181920212223[Утрим])</f>
        <v>7</v>
      </c>
      <c r="F30" s="27"/>
    </row>
    <row r="31" spans="1:7" x14ac:dyDescent="0.25">
      <c r="B31" t="str">
        <f>IF(Таблица2456789101117181920212223[[#Totals],[За]]&gt;13,"Рішення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Normal="100" zoomScaleSheetLayoutView="100" workbookViewId="0">
      <selection activeCell="F19" sqref="F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" customHeight="1" x14ac:dyDescent="0.25">
      <c r="B1" s="45" t="str">
        <f>'Порядок денний '!B18</f>
        <v>Про надання дозволу на розроблення проекту землеустрою щодо відведення земельної ділянки(Хоменко)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>
        <v>1</v>
      </c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>
        <v>1</v>
      </c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>
        <v>1</v>
      </c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>
        <v>1</v>
      </c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>
        <v>1</v>
      </c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>
        <v>1</v>
      </c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>
        <v>1</v>
      </c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SUBTOTAL(109,Таблица245678910111718192021222324[За])</f>
        <v>7</v>
      </c>
      <c r="D30" s="27">
        <f>SUBTOTAL(109,Таблица245678910111718192021222324[Проти])</f>
        <v>2</v>
      </c>
      <c r="E30" s="27">
        <f>SUBTOTAL(109,Таблица245678910111718192021222324[Утрим])</f>
        <v>11</v>
      </c>
      <c r="F30" s="27">
        <f>SUBTOTAL(109,Таблица245678910111718192021222324[не голосували])</f>
        <v>0</v>
      </c>
    </row>
    <row r="31" spans="1:7" x14ac:dyDescent="0.25">
      <c r="B31" t="str">
        <f>IF(Таблица245678910111718192021222324[[#Totals],[За]]&gt;13,"Рішення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6.5703125" style="28" customWidth="1"/>
    <col min="2" max="2" width="71.42578125" style="16" customWidth="1"/>
    <col min="3" max="4" width="9.140625" style="20"/>
    <col min="5" max="5" width="8.28515625" style="20" customWidth="1"/>
    <col min="6" max="6" width="10.7109375" style="20" customWidth="1"/>
    <col min="7" max="7" width="23.85546875" style="33" customWidth="1"/>
    <col min="8" max="8" width="14.85546875" customWidth="1"/>
  </cols>
  <sheetData>
    <row r="1" spans="1:8" s="24" customFormat="1" ht="48" thickBot="1" x14ac:dyDescent="0.3">
      <c r="A1" s="29" t="s">
        <v>0</v>
      </c>
      <c r="B1" s="21" t="s">
        <v>26</v>
      </c>
      <c r="C1" s="22" t="s">
        <v>22</v>
      </c>
      <c r="D1" s="22" t="s">
        <v>23</v>
      </c>
      <c r="E1" s="23" t="s">
        <v>24</v>
      </c>
      <c r="F1" s="21" t="s">
        <v>27</v>
      </c>
      <c r="G1" s="31" t="s">
        <v>25</v>
      </c>
      <c r="H1" s="22" t="s">
        <v>86</v>
      </c>
    </row>
    <row r="2" spans="1:8" ht="60.75" customHeight="1" thickBot="1" x14ac:dyDescent="0.3">
      <c r="A2" s="40">
        <f>IF(ISBLANK(#REF!),"",COUNTA(#REF!))</f>
        <v>1</v>
      </c>
      <c r="B2" s="42" t="s">
        <v>54</v>
      </c>
      <c r="C2" s="53">
        <f>Таблица2[[#Totals],[За]]</f>
        <v>18</v>
      </c>
      <c r="D2" s="53">
        <f>Таблица2[[#Totals],[Проти]]</f>
        <v>0</v>
      </c>
      <c r="E2" s="53">
        <f>Таблица2[[#Totals],[Утрим]]</f>
        <v>1</v>
      </c>
      <c r="F2" s="41">
        <f>Таблица2[[#Totals],[не голосували]]</f>
        <v>1</v>
      </c>
      <c r="G2" s="32" t="str">
        <f>'1'!$B$31</f>
        <v>Рішення прийнято</v>
      </c>
      <c r="H2" s="51">
        <v>1</v>
      </c>
    </row>
    <row r="3" spans="1:8" ht="48" thickBot="1" x14ac:dyDescent="0.3">
      <c r="A3" s="40">
        <f>IF(ISBLANK(B3),"",COUNTA($B$2:B3))</f>
        <v>2</v>
      </c>
      <c r="B3" s="43" t="s">
        <v>55</v>
      </c>
      <c r="C3" s="53">
        <f>Таблица24[[#Totals],[За]]</f>
        <v>19</v>
      </c>
      <c r="D3" s="53">
        <f>Таблица24[[#Totals],[Проти]]</f>
        <v>0</v>
      </c>
      <c r="E3" s="53">
        <f>Таблица24[[#Totals],[Утрим]]</f>
        <v>0</v>
      </c>
      <c r="F3" s="41">
        <f>Таблица24[[#Totals],[не голосували]]</f>
        <v>1</v>
      </c>
      <c r="G3" s="32" t="str">
        <f>'2'!$B$31</f>
        <v>Рішення прийнято</v>
      </c>
      <c r="H3" s="51">
        <v>2</v>
      </c>
    </row>
    <row r="4" spans="1:8" ht="16.5" thickBot="1" x14ac:dyDescent="0.3">
      <c r="A4" s="40">
        <f>IF(ISBLANK(B4),"",COUNTA($B$2:B4))</f>
        <v>3</v>
      </c>
      <c r="B4" s="42" t="s">
        <v>56</v>
      </c>
      <c r="C4" s="53">
        <f>Таблица245[[#Totals],[За]]</f>
        <v>20</v>
      </c>
      <c r="D4" s="53">
        <f>Таблица245[[#Totals],[Проти]]</f>
        <v>0</v>
      </c>
      <c r="E4" s="53">
        <f>Таблица245[[#Totals],[Утрим]]</f>
        <v>0</v>
      </c>
      <c r="F4" s="41">
        <f>Таблица245[[#Totals],[не голосували]]</f>
        <v>0</v>
      </c>
      <c r="G4" s="32" t="str">
        <f>'3'!$B$31</f>
        <v>Рішення прийнято</v>
      </c>
      <c r="H4" s="51">
        <v>3</v>
      </c>
    </row>
    <row r="5" spans="1:8" ht="48" thickBot="1" x14ac:dyDescent="0.3">
      <c r="A5" s="40">
        <f>IF(ISBLANK(B5),"",COUNTA($B$2:B5))</f>
        <v>4</v>
      </c>
      <c r="B5" s="43" t="s">
        <v>57</v>
      </c>
      <c r="C5" s="53">
        <f>Таблица2456[[#Totals],[За]]</f>
        <v>20</v>
      </c>
      <c r="D5" s="53">
        <f>Таблица2456[[#Totals],[Проти]]</f>
        <v>0</v>
      </c>
      <c r="E5" s="53">
        <f>Таблица2456[[#Totals],[Утрим]]</f>
        <v>0</v>
      </c>
      <c r="F5" s="41">
        <f>Таблица2456[[#Totals],[не голосували]]</f>
        <v>0</v>
      </c>
      <c r="G5" s="32" t="str">
        <f>'4'!$B$31</f>
        <v>Рішення прийнято</v>
      </c>
      <c r="H5" s="51">
        <v>4</v>
      </c>
    </row>
    <row r="6" spans="1:8" ht="48" thickBot="1" x14ac:dyDescent="0.3">
      <c r="A6" s="40">
        <f>IF(ISBLANK(B6),"",COUNTA($B$2:B6))</f>
        <v>5</v>
      </c>
      <c r="B6" s="42" t="s">
        <v>58</v>
      </c>
      <c r="C6" s="53">
        <f>Таблица24567[[#Totals],[За]]</f>
        <v>20</v>
      </c>
      <c r="D6" s="53">
        <f>Таблица24567[[#Totals],[Проти]]</f>
        <v>0</v>
      </c>
      <c r="E6" s="53">
        <f>Таблица24567[[#Totals],[Утрим]]</f>
        <v>0</v>
      </c>
      <c r="F6" s="41">
        <f>Таблица24567[[#Totals],[не голосували]]</f>
        <v>0</v>
      </c>
      <c r="G6" s="32" t="str">
        <f>'5'!$B$31</f>
        <v>Рішення прийнято</v>
      </c>
      <c r="H6" s="51">
        <v>5</v>
      </c>
    </row>
    <row r="7" spans="1:8" ht="48" thickBot="1" x14ac:dyDescent="0.3">
      <c r="A7" s="40">
        <f>IF(ISBLANK(B7),"",COUNTA($B$2:B7))</f>
        <v>6</v>
      </c>
      <c r="B7" s="43" t="s">
        <v>59</v>
      </c>
      <c r="C7" s="53">
        <f>Таблица245678[[#Totals],[За]]</f>
        <v>20</v>
      </c>
      <c r="D7" s="53">
        <f>Таблица245678[[#Totals],[Проти]]</f>
        <v>0</v>
      </c>
      <c r="E7" s="53">
        <f>Таблица245678[[#Totals],[Утрим]]</f>
        <v>0</v>
      </c>
      <c r="F7" s="41">
        <f>Таблица245678[[#Totals],[не голосували]]</f>
        <v>0</v>
      </c>
      <c r="G7" s="32" t="str">
        <f>'6'!$B$31</f>
        <v>Рішення прийнято</v>
      </c>
      <c r="H7" s="51">
        <v>6</v>
      </c>
    </row>
    <row r="8" spans="1:8" ht="32.25" thickBot="1" x14ac:dyDescent="0.3">
      <c r="A8" s="40">
        <f>IF(ISBLANK(B8),"",COUNTA($B$2:B8))</f>
        <v>7</v>
      </c>
      <c r="B8" s="42" t="s">
        <v>60</v>
      </c>
      <c r="C8" s="53">
        <f>Таблица2456789[[#Totals],[За]]</f>
        <v>20</v>
      </c>
      <c r="D8" s="53">
        <f>Таблица2456789[[#Totals],[Проти]]</f>
        <v>0</v>
      </c>
      <c r="E8" s="53">
        <f>Таблица2456789[[#Totals],[Утрим]]</f>
        <v>0</v>
      </c>
      <c r="F8" s="41">
        <f>Таблица2456789[[#Totals],[не голосували]]</f>
        <v>0</v>
      </c>
      <c r="G8" s="32" t="str">
        <f>'7'!$B$31</f>
        <v>Рішення прийнято</v>
      </c>
      <c r="H8" s="51">
        <v>7</v>
      </c>
    </row>
    <row r="9" spans="1:8" ht="32.25" thickBot="1" x14ac:dyDescent="0.3">
      <c r="A9" s="40">
        <f>IF(ISBLANK(B9),"",COUNTA($B$2:B9))</f>
        <v>8</v>
      </c>
      <c r="B9" s="43" t="s">
        <v>61</v>
      </c>
      <c r="C9" s="53">
        <f>Таблица245678910[[#Totals],[За]]</f>
        <v>20</v>
      </c>
      <c r="D9" s="53">
        <f>Таблица245678910[[#Totals],[Проти]]</f>
        <v>0</v>
      </c>
      <c r="E9" s="53">
        <f>Таблица245678910[[#Totals],[Утрим]]</f>
        <v>0</v>
      </c>
      <c r="F9" s="41">
        <f>Таблица245678910[[#Totals],[не голосували]]</f>
        <v>0</v>
      </c>
      <c r="G9" s="32" t="str">
        <f>'8'!$B$31</f>
        <v>Рішення прийнято</v>
      </c>
      <c r="H9" s="51">
        <v>8</v>
      </c>
    </row>
    <row r="10" spans="1:8" ht="32.25" thickBot="1" x14ac:dyDescent="0.3">
      <c r="A10" s="40">
        <f>IF(ISBLANK(B10),"",COUNTA($B$2:B10))</f>
        <v>9</v>
      </c>
      <c r="B10" s="42" t="s">
        <v>62</v>
      </c>
      <c r="C10" s="53">
        <f>Таблица24567891011[[#Totals],[За]]</f>
        <v>4</v>
      </c>
      <c r="D10" s="53">
        <f>Таблица24567891011[[#Totals],[Проти]]</f>
        <v>0</v>
      </c>
      <c r="E10" s="53">
        <f>Таблица24567891011[[#Totals],[Утрим]]</f>
        <v>16</v>
      </c>
      <c r="F10" s="41">
        <f>Таблица24567891011[[#Totals],[не голосували]]</f>
        <v>0</v>
      </c>
      <c r="G10" s="32" t="str">
        <f>'9'!$B$31</f>
        <v>Рішення не прийнято</v>
      </c>
      <c r="H10" s="51"/>
    </row>
    <row r="11" spans="1:8" ht="32.25" thickBot="1" x14ac:dyDescent="0.3">
      <c r="A11" s="40">
        <f>IF(ISBLANK(B11),"",COUNTA($B$2:B11))</f>
        <v>10</v>
      </c>
      <c r="B11" s="43" t="s">
        <v>63</v>
      </c>
      <c r="C11" s="53">
        <f>Таблица2456789101117[[#Totals],[За]]</f>
        <v>10</v>
      </c>
      <c r="D11" s="53">
        <f>Таблица2456789101117[[#Totals],[Проти]]</f>
        <v>0</v>
      </c>
      <c r="E11" s="53">
        <f>Таблица2456789101117[[#Totals],[Утрим]]</f>
        <v>10</v>
      </c>
      <c r="F11" s="41">
        <f>Таблица2456789101117[[#Totals],[не голосували]]</f>
        <v>0</v>
      </c>
      <c r="G11" s="32" t="str">
        <f>'10'!$B$31</f>
        <v>Рішення не прийнято</v>
      </c>
      <c r="H11" s="51"/>
    </row>
    <row r="12" spans="1:8" ht="32.25" thickBot="1" x14ac:dyDescent="0.3">
      <c r="A12" s="40">
        <f>IF(ISBLANK(B12),"",COUNTA($B$2:B12))</f>
        <v>11</v>
      </c>
      <c r="B12" s="42" t="s">
        <v>64</v>
      </c>
      <c r="C12" s="53">
        <f>Таблица245678910111718[[#Totals],[За]]</f>
        <v>20</v>
      </c>
      <c r="D12" s="53">
        <f>Таблица245678910111718[[#Totals],[Проти]]</f>
        <v>0</v>
      </c>
      <c r="E12" s="53">
        <f>Таблица245678910111718[[#Totals],[Утрим]]</f>
        <v>0</v>
      </c>
      <c r="F12" s="41">
        <f>Таблица245678910111718[[#Totals],[не голосували]]</f>
        <v>0</v>
      </c>
      <c r="G12" s="32" t="str">
        <f>'11'!$B$31</f>
        <v>Рішення прийнято</v>
      </c>
      <c r="H12" s="51">
        <v>9</v>
      </c>
    </row>
    <row r="13" spans="1:8" ht="32.25" thickBot="1" x14ac:dyDescent="0.3">
      <c r="A13" s="40">
        <f>IF(ISBLANK(B13),"",COUNTA($B$2:B13))</f>
        <v>12</v>
      </c>
      <c r="B13" s="43" t="s">
        <v>65</v>
      </c>
      <c r="C13" s="53">
        <f>Таблица24567891011171819[[#Totals],[За]]</f>
        <v>20</v>
      </c>
      <c r="D13" s="53">
        <f>Таблица24567891011171819[[#Totals],[Проти]]</f>
        <v>0</v>
      </c>
      <c r="E13" s="53">
        <f>Таблица24567891011171819[[#Totals],[Утрим]]</f>
        <v>0</v>
      </c>
      <c r="F13" s="41">
        <f>Таблица24567891011171819[[#Totals],[не голосували]]</f>
        <v>0</v>
      </c>
      <c r="G13" s="32" t="str">
        <f>'12'!$B$31</f>
        <v>Рішення прийнято</v>
      </c>
      <c r="H13" s="51">
        <v>10</v>
      </c>
    </row>
    <row r="14" spans="1:8" ht="32.25" thickBot="1" x14ac:dyDescent="0.3">
      <c r="A14" s="40">
        <f>IF(ISBLANK(B14),"",COUNTA($B$2:B14))</f>
        <v>13</v>
      </c>
      <c r="B14" s="42" t="s">
        <v>66</v>
      </c>
      <c r="C14" s="53">
        <f>Таблица2456789101117181920[[#Totals],[За]]</f>
        <v>20</v>
      </c>
      <c r="D14" s="53">
        <f>Таблица2456789101117181920[[#Totals],[Проти]]</f>
        <v>0</v>
      </c>
      <c r="E14" s="53">
        <f>Таблица2456789101117181920[[#Totals],[Утрим]]</f>
        <v>0</v>
      </c>
      <c r="F14" s="41">
        <f>Таблица2456789101117181920[[#Totals],[не голосували]]</f>
        <v>0</v>
      </c>
      <c r="G14" s="32" t="str">
        <f>'13'!$B$31</f>
        <v>Рішення прийнято</v>
      </c>
      <c r="H14" s="51">
        <v>11</v>
      </c>
    </row>
    <row r="15" spans="1:8" ht="32.25" thickBot="1" x14ac:dyDescent="0.3">
      <c r="A15" s="40">
        <f>IF(ISBLANK(B15),"",COUNTA($B$2:B15))</f>
        <v>14</v>
      </c>
      <c r="B15" s="43" t="s">
        <v>67</v>
      </c>
      <c r="C15" s="53">
        <f>Таблица245678910111718192021[[#Totals],[За]]</f>
        <v>20</v>
      </c>
      <c r="D15" s="53">
        <f>Таблица245678910111718192021[[#Totals],[Проти]]</f>
        <v>0</v>
      </c>
      <c r="E15" s="53">
        <f>Таблица245678910111718192021[[#Totals],[Утрим]]</f>
        <v>0</v>
      </c>
      <c r="F15" s="41">
        <f>Таблица245678910111718192021[[#Totals],[не голосували]]</f>
        <v>0</v>
      </c>
      <c r="G15" s="32" t="str">
        <f>'14'!$B$31</f>
        <v>Рішення прийнято</v>
      </c>
      <c r="H15" s="51">
        <v>12</v>
      </c>
    </row>
    <row r="16" spans="1:8" ht="32.25" thickBot="1" x14ac:dyDescent="0.3">
      <c r="A16" s="40">
        <f>IF(ISBLANK(B16),"",COUNTA($B$2:B16))</f>
        <v>15</v>
      </c>
      <c r="B16" s="42" t="s">
        <v>68</v>
      </c>
      <c r="C16" s="53">
        <f>Таблица24567891011171819202122[[#Totals],[За]]</f>
        <v>20</v>
      </c>
      <c r="D16" s="53">
        <f>Таблица24567891011171819202122[[#Totals],[Проти]]</f>
        <v>0</v>
      </c>
      <c r="E16" s="53">
        <f>Таблица24567891011171819202122[[#Totals],[Утрим]]</f>
        <v>0</v>
      </c>
      <c r="F16" s="41">
        <f>Таблица24567891011171819202122[[#Totals],[не голосували]]</f>
        <v>0</v>
      </c>
      <c r="G16" s="32" t="str">
        <f>'15'!$B$31</f>
        <v>Рішення прийнято</v>
      </c>
      <c r="H16" s="51">
        <v>13</v>
      </c>
    </row>
    <row r="17" spans="1:8" ht="32.25" thickBot="1" x14ac:dyDescent="0.3">
      <c r="A17" s="40">
        <f>IF(ISBLANK(B17),"",COUNTA($B$2:B17))</f>
        <v>16</v>
      </c>
      <c r="B17" s="43" t="s">
        <v>69</v>
      </c>
      <c r="C17" s="53">
        <f>Таблица2456789101117181920212223[[#Totals],[За]]</f>
        <v>12</v>
      </c>
      <c r="D17" s="53">
        <f>Таблица2456789101117181920212223[[#Totals],[Проти]]</f>
        <v>1</v>
      </c>
      <c r="E17" s="53">
        <f>Таблица2456789101117181920212223[[#Totals],[Утрим]]</f>
        <v>7</v>
      </c>
      <c r="F17" s="41">
        <f>Таблица2456789101117181920212223[[#Totals],[не голосували]]</f>
        <v>0</v>
      </c>
      <c r="G17" s="32" t="str">
        <f>'16'!$B$31</f>
        <v>Рішення не прийнято</v>
      </c>
      <c r="H17" s="51"/>
    </row>
    <row r="18" spans="1:8" ht="32.25" thickBot="1" x14ac:dyDescent="0.3">
      <c r="A18" s="40">
        <f>IF(ISBLANK(B18),"",COUNTA($B$2:B18))</f>
        <v>17</v>
      </c>
      <c r="B18" s="42" t="s">
        <v>70</v>
      </c>
      <c r="C18" s="53">
        <f>Таблица245678910111718192021222324[[#Totals],[За]]</f>
        <v>7</v>
      </c>
      <c r="D18" s="53">
        <f>Таблица245678910111718192021222324[[#Totals],[Проти]]</f>
        <v>2</v>
      </c>
      <c r="E18" s="53">
        <f>Таблица245678910111718192021222324[[#Totals],[Утрим]]</f>
        <v>11</v>
      </c>
      <c r="F18" s="41">
        <f>Таблица245678910111718192021222324[[#Totals],[не голосували]]</f>
        <v>0</v>
      </c>
      <c r="G18" s="32" t="str">
        <f>'17'!$B$31</f>
        <v>Рішення не прийнято</v>
      </c>
      <c r="H18" s="51"/>
    </row>
    <row r="19" spans="1:8" ht="32.25" thickBot="1" x14ac:dyDescent="0.3">
      <c r="A19" s="40">
        <f>IF(ISBLANK(B19),"",COUNTA($B$2:B19))</f>
        <v>18</v>
      </c>
      <c r="B19" s="43" t="s">
        <v>71</v>
      </c>
      <c r="C19" s="53">
        <f>Таблица24567891011171819202122232425[[#Totals],[За]]</f>
        <v>20</v>
      </c>
      <c r="D19" s="53">
        <f>Таблица24567891011171819202122232425[[#Totals],[Проти]]</f>
        <v>0</v>
      </c>
      <c r="E19" s="53">
        <f>Таблица24567891011171819202122232425[[#Totals],[Утрим]]</f>
        <v>0</v>
      </c>
      <c r="F19" s="41">
        <f>Таблица24567891011171819202122232425[[#Totals],[не голосували]]</f>
        <v>0</v>
      </c>
      <c r="G19" s="32" t="str">
        <f>'18'!$B$31</f>
        <v>Рішення прийнято</v>
      </c>
      <c r="H19" s="51">
        <v>14</v>
      </c>
    </row>
    <row r="20" spans="1:8" ht="32.25" thickBot="1" x14ac:dyDescent="0.3">
      <c r="A20" s="40">
        <f>IF(ISBLANK(B20),"",COUNTA($B$2:B20))</f>
        <v>19</v>
      </c>
      <c r="B20" s="42" t="s">
        <v>72</v>
      </c>
      <c r="C20" s="53">
        <f>Таблица2456789101117181920212223242526[[#Totals],[За]]</f>
        <v>13</v>
      </c>
      <c r="D20" s="53">
        <f>Таблица2456789101117181920212223242526[[#Totals],[Проти]]</f>
        <v>0</v>
      </c>
      <c r="E20" s="53">
        <f>Таблица2456789101117181920212223242526[[#Totals],[Утрим]]</f>
        <v>7</v>
      </c>
      <c r="F20" s="41">
        <f>Таблица2456789101117181920212223242526[[#Totals],[не голосували]]</f>
        <v>0</v>
      </c>
      <c r="G20" s="32" t="str">
        <f>'19'!$B$31</f>
        <v>Рішення не прийнято</v>
      </c>
      <c r="H20" s="51"/>
    </row>
    <row r="21" spans="1:8" ht="32.25" thickBot="1" x14ac:dyDescent="0.3">
      <c r="A21" s="40">
        <f>IF(ISBLANK(B21),"",COUNTA($B$2:B21))</f>
        <v>20</v>
      </c>
      <c r="B21" s="43" t="s">
        <v>73</v>
      </c>
      <c r="C21" s="53">
        <f>Таблица245678910111718192021222324252627[[#Totals],[За]]</f>
        <v>13</v>
      </c>
      <c r="D21" s="53">
        <f>Таблица245678910111718192021222324252627[[#Totals],[Проти]]</f>
        <v>0</v>
      </c>
      <c r="E21" s="53">
        <f>Таблица245678910111718192021222324252627[[#Totals],[Утрим]]</f>
        <v>7</v>
      </c>
      <c r="F21" s="41">
        <f>Таблица245678910111718192021222324252627[[#Totals],[не голосували]]</f>
        <v>0</v>
      </c>
      <c r="G21" s="32" t="str">
        <f>'20'!$B$31</f>
        <v>Рішення не прийнято</v>
      </c>
      <c r="H21" s="51"/>
    </row>
    <row r="22" spans="1:8" ht="32.25" thickBot="1" x14ac:dyDescent="0.3">
      <c r="A22" s="40">
        <f>IF(ISBLANK(B22),"",COUNTA($B$2:B22))</f>
        <v>21</v>
      </c>
      <c r="B22" s="42" t="s">
        <v>74</v>
      </c>
      <c r="C22" s="53">
        <f>Таблица24567891011171819202122232425262728[[#Totals],[За]]</f>
        <v>13</v>
      </c>
      <c r="D22" s="53">
        <f>Таблица24567891011171819202122232425262728[[#Totals],[Проти]]</f>
        <v>0</v>
      </c>
      <c r="E22" s="53">
        <f>Таблица24567891011171819202122232425262728[[#Totals],[Утрим]]</f>
        <v>7</v>
      </c>
      <c r="F22" s="41">
        <f>Таблица24567891011171819202122232425262728[[#Totals],[не голосували]]</f>
        <v>0</v>
      </c>
      <c r="G22" s="32" t="str">
        <f>'21'!$B$31</f>
        <v>Рішення не прийнято</v>
      </c>
      <c r="H22" s="51"/>
    </row>
    <row r="23" spans="1:8" ht="32.25" thickBot="1" x14ac:dyDescent="0.3">
      <c r="A23" s="40">
        <f>IF(ISBLANK(B23),"",COUNTA($B$2:B23))</f>
        <v>22</v>
      </c>
      <c r="B23" s="43" t="s">
        <v>75</v>
      </c>
      <c r="C23" s="53">
        <f>Таблица2456789101117181920212223242526272829[[#Totals],[За]]</f>
        <v>13</v>
      </c>
      <c r="D23" s="53">
        <f>Таблица2456789101117181920212223242526272829[[#Totals],[Проти]]</f>
        <v>0</v>
      </c>
      <c r="E23" s="53">
        <f>Таблица2456789101117181920212223242526272829[[#Totals],[Утрим]]</f>
        <v>7</v>
      </c>
      <c r="F23" s="41">
        <f>Таблица2456789101117181920212223242526272829[[#Totals],[не голосували]]</f>
        <v>0</v>
      </c>
      <c r="G23" s="32" t="str">
        <f>'22'!$B$31</f>
        <v>Рішення не прийнято</v>
      </c>
      <c r="H23" s="51"/>
    </row>
    <row r="24" spans="1:8" ht="32.25" thickBot="1" x14ac:dyDescent="0.3">
      <c r="A24" s="40">
        <f>IF(ISBLANK(B24),"",COUNTA($B$2:B24))</f>
        <v>23</v>
      </c>
      <c r="B24" s="42" t="s">
        <v>76</v>
      </c>
      <c r="C24" s="53">
        <f>Таблица245678910111718192021222324252627282930[[#Totals],[За]]</f>
        <v>16</v>
      </c>
      <c r="D24" s="53">
        <f>Таблица245678910111718192021222324252627282930[[#Totals],[Проти]]</f>
        <v>0</v>
      </c>
      <c r="E24" s="53">
        <f>Таблица245678910111718192021222324252627282930[[#Totals],[Утрим]]</f>
        <v>4</v>
      </c>
      <c r="F24" s="41">
        <f>Таблица245678910111718192021222324252627282930[[#Totals],[не голосували]]</f>
        <v>0</v>
      </c>
      <c r="G24" s="32" t="str">
        <f>'23'!$B$31</f>
        <v>Рішення прийнято</v>
      </c>
      <c r="H24" s="51">
        <v>15</v>
      </c>
    </row>
    <row r="25" spans="1:8" ht="32.25" thickBot="1" x14ac:dyDescent="0.3">
      <c r="A25" s="40">
        <f>IF(ISBLANK(B25),"",COUNTA($B$2:B25))</f>
        <v>24</v>
      </c>
      <c r="B25" s="43" t="s">
        <v>77</v>
      </c>
      <c r="C25" s="53">
        <f>Таблица24567891011171819202122232425262728293031[[#Totals],[За]]</f>
        <v>10</v>
      </c>
      <c r="D25" s="53">
        <f>Таблица24567891011171819202122232425262728293031[[#Totals],[Проти]]</f>
        <v>0</v>
      </c>
      <c r="E25" s="53">
        <f>Таблица24567891011171819202122232425262728293031[[#Totals],[Утрим]]</f>
        <v>10</v>
      </c>
      <c r="F25" s="41">
        <f>Таблица24567891011171819202122232425262728293031[[#Totals],[не голосували]]</f>
        <v>0</v>
      </c>
      <c r="G25" s="32" t="str">
        <f>'24'!$B$31</f>
        <v>Рішення не прийнято</v>
      </c>
      <c r="H25" s="51"/>
    </row>
    <row r="26" spans="1:8" ht="16.5" thickBot="1" x14ac:dyDescent="0.3">
      <c r="A26" s="40">
        <f>IF(ISBLANK(B26),"",COUNTA($B$2:B26))</f>
        <v>25</v>
      </c>
      <c r="B26" s="42" t="s">
        <v>78</v>
      </c>
      <c r="C26" s="53">
        <f>Таблица2456789101117181920212223242526272829303132[[#Totals],[За]]</f>
        <v>17</v>
      </c>
      <c r="D26" s="53">
        <f>Таблица2456789101117181920212223242526272829303132[[#Totals],[Проти]]</f>
        <v>1</v>
      </c>
      <c r="E26" s="53">
        <f>Таблица2456789101117181920212223242526272829303132[[#Totals],[Утрим]]</f>
        <v>2</v>
      </c>
      <c r="F26" s="41">
        <f>Таблица2456789101117181920212223242526272829303132[[#Totals],[не голосували]]</f>
        <v>0</v>
      </c>
      <c r="G26" s="32" t="str">
        <f>'25'!$B$31</f>
        <v>Рішення прийнято</v>
      </c>
      <c r="H26" s="51">
        <v>16</v>
      </c>
    </row>
    <row r="27" spans="1:8" ht="48" thickBot="1" x14ac:dyDescent="0.3">
      <c r="A27" s="40">
        <f>IF(ISBLANK(B27),"",COUNTA($B$2:B27))</f>
        <v>26</v>
      </c>
      <c r="B27" s="43" t="s">
        <v>79</v>
      </c>
      <c r="C27" s="53">
        <f>Таблица245678910111718192021222324252627282930313233[[#Totals],[За]]</f>
        <v>19</v>
      </c>
      <c r="D27" s="53">
        <f>Таблица245678910111718192021222324252627282930313233[[#Totals],[Проти]]</f>
        <v>0</v>
      </c>
      <c r="E27" s="53">
        <f>Таблица245678910111718192021222324252627282930313233[[#Totals],[Утрим]]</f>
        <v>1</v>
      </c>
      <c r="F27" s="41">
        <f>Таблица245678910111718192021222324252627282930313233[[#Totals],[не голосували]]</f>
        <v>0</v>
      </c>
      <c r="G27" s="32" t="str">
        <f>'26'!$B$31</f>
        <v>Рішення прийнято</v>
      </c>
      <c r="H27" s="51">
        <v>17</v>
      </c>
    </row>
    <row r="28" spans="1:8" ht="32.25" thickBot="1" x14ac:dyDescent="0.3">
      <c r="A28" s="40">
        <f>IF(ISBLANK(B28),"",COUNTA($B$2:B28))</f>
        <v>27</v>
      </c>
      <c r="B28" s="42" t="s">
        <v>80</v>
      </c>
      <c r="C28" s="53">
        <f>Таблица24567891011171819202122232425262728293031323334[[#Totals],[За]]</f>
        <v>20</v>
      </c>
      <c r="D28" s="53">
        <f>Таблица24567891011171819202122232425262728293031323334[[#Totals],[Проти]]</f>
        <v>0</v>
      </c>
      <c r="E28" s="53">
        <f>Таблица24567891011171819202122232425262728293031323334[[#Totals],[Утрим]]</f>
        <v>0</v>
      </c>
      <c r="F28" s="41">
        <f>Таблица24567891011171819202122232425262728293031323334[[#Totals],[не голосували]]</f>
        <v>0</v>
      </c>
      <c r="G28" s="32" t="str">
        <f>'27'!$B$31</f>
        <v>Рішення прийнято</v>
      </c>
      <c r="H28" s="51">
        <v>18</v>
      </c>
    </row>
    <row r="29" spans="1:8" ht="16.5" thickBot="1" x14ac:dyDescent="0.3">
      <c r="A29" s="40">
        <f>IF(ISBLANK(B29),"",COUNTA($B$2:B29))</f>
        <v>28</v>
      </c>
      <c r="B29" s="43" t="s">
        <v>81</v>
      </c>
      <c r="C29" s="53">
        <f>Таблица2456789101117181920212223242526272829303132333435[[#Totals],[За]]</f>
        <v>14</v>
      </c>
      <c r="D29" s="53">
        <f>Таблица2456789101117181920212223242526272829303132333435[[#Totals],[Проти]]</f>
        <v>1</v>
      </c>
      <c r="E29" s="53">
        <f>Таблица2456789101117181920212223242526272829303132333435[[#Totals],[Утрим]]</f>
        <v>3</v>
      </c>
      <c r="F29" s="41">
        <f>Таблица2456789101117181920212223242526272829303132333435[[#Totals],[не голосували]]</f>
        <v>2</v>
      </c>
      <c r="G29" s="32" t="str">
        <f>'28'!$B$24</f>
        <v>Рішення прийнято</v>
      </c>
      <c r="H29" s="51">
        <v>19</v>
      </c>
    </row>
    <row r="30" spans="1:8" ht="32.25" thickBot="1" x14ac:dyDescent="0.3">
      <c r="A30" s="40">
        <f>IF(ISBLANK(B30),"",COUNTA($B$2:B30))</f>
        <v>29</v>
      </c>
      <c r="B30" s="42" t="s">
        <v>82</v>
      </c>
      <c r="C30" s="53">
        <f>Таблица245678910111718192021222324252627282930313233343536[[#Totals],[За]]</f>
        <v>20</v>
      </c>
      <c r="D30" s="53">
        <f>Таблица245678910111718192021222324252627282930313233343536[[#Totals],[Проти]]</f>
        <v>0</v>
      </c>
      <c r="E30" s="53">
        <f>Таблица245678910111718192021222324252627282930313233343536[[#Totals],[Утрим]]</f>
        <v>0</v>
      </c>
      <c r="F30" s="41">
        <f>Таблица245678910111718192021222324252627282930313233343536[[#Totals],[не голосували]]</f>
        <v>0</v>
      </c>
      <c r="G30" s="32" t="str">
        <f>'29'!$B$31</f>
        <v>Рішення прийнято</v>
      </c>
      <c r="H30" s="51">
        <v>20</v>
      </c>
    </row>
    <row r="31" spans="1:8" ht="48" thickBot="1" x14ac:dyDescent="0.3">
      <c r="A31" s="40">
        <f>IF(ISBLANK(B31),"",COUNTA($B$2:B31))</f>
        <v>30</v>
      </c>
      <c r="B31" s="43" t="s">
        <v>83</v>
      </c>
      <c r="C31" s="53">
        <f>Таблица24567891011171819202122232425262728293031323334353637[[#Totals],[За]]</f>
        <v>20</v>
      </c>
      <c r="D31" s="53">
        <f>Таблица24567891011171819202122232425262728293031323334353637[[#Totals],[Проти]]</f>
        <v>0</v>
      </c>
      <c r="E31" s="53">
        <f>Таблица24567891011171819202122232425262728293031323334353637[[#Totals],[Утрим]]</f>
        <v>0</v>
      </c>
      <c r="F31" s="41">
        <f>Таблица24567891011171819202122232425262728293031323334353637[[#Totals],[не голосували]]</f>
        <v>0</v>
      </c>
      <c r="G31" s="32" t="str">
        <f>'30'!$B$31</f>
        <v>Рішення прийнято</v>
      </c>
      <c r="H31" s="51">
        <v>21</v>
      </c>
    </row>
    <row r="32" spans="1:8" ht="16.5" thickBot="1" x14ac:dyDescent="0.3">
      <c r="A32" s="40">
        <f>IF(ISBLANK(B32),"",COUNTA($B$2:B32))</f>
        <v>31</v>
      </c>
      <c r="B32" s="42" t="s">
        <v>84</v>
      </c>
      <c r="C32" s="53">
        <f>Таблица2456789101117181920212223242526272829303132333435363738[[#Totals],[За]]</f>
        <v>18</v>
      </c>
      <c r="D32" s="53">
        <f>Таблица2456789101117181920212223242526272829303132333435363738[[#Totals],[Проти]]</f>
        <v>0</v>
      </c>
      <c r="E32" s="53">
        <f>Таблица2456789101117181920212223242526272829303132333435363738[[#Totals],[Утрим]]</f>
        <v>0</v>
      </c>
      <c r="F32" s="41">
        <f>Таблица2456789101117181920212223242526272829303132333435363738[[#Totals],[не голосували]]</f>
        <v>0</v>
      </c>
      <c r="G32" s="32" t="str">
        <f>'31'!$B$31</f>
        <v>Рішення прийнято</v>
      </c>
      <c r="H32" s="51">
        <v>22</v>
      </c>
    </row>
    <row r="33" spans="1:8" ht="16.5" thickBot="1" x14ac:dyDescent="0.3">
      <c r="A33" s="40">
        <f>IF(ISBLANK(B33),"",COUNTA($B$2:B33))</f>
        <v>32</v>
      </c>
      <c r="B33" s="43" t="s">
        <v>85</v>
      </c>
      <c r="C33" s="53">
        <f>Таблица245678910111718192021222324252627282930313233343536373839[[#Totals],[За]]</f>
        <v>16</v>
      </c>
      <c r="D33" s="53">
        <f>Таблица245678910111718192021222324252627282930313233343536373839[[#Totals],[Проти]]</f>
        <v>1</v>
      </c>
      <c r="E33" s="53">
        <f>Таблица245678910111718192021222324252627282930313233343536373839[[#Totals],[Утрим]]</f>
        <v>0</v>
      </c>
      <c r="F33" s="41">
        <f>Таблица245678910111718192021222324252627282930313233343536373839[[#Totals],[не голосували]]</f>
        <v>1</v>
      </c>
      <c r="G33" s="32" t="str">
        <f>'32'!$B$31</f>
        <v>Рішення прийнято</v>
      </c>
      <c r="H33" s="51">
        <v>23</v>
      </c>
    </row>
  </sheetData>
  <autoFilter ref="A1:H33"/>
  <hyperlinks>
    <hyperlink ref="A2" location="'1'!A1" display="'1'!A1"/>
    <hyperlink ref="A3:A33" location="'1'!A1" display="'1'!A1"/>
    <hyperlink ref="A4" location="'3'!A1" display="'3'!A1"/>
    <hyperlink ref="A3" location="'2'!A1" display="'2'!A1"/>
    <hyperlink ref="A5" location="'4'!A1" display="'4'!A1"/>
    <hyperlink ref="A6" location="'5'!A1" display="'5'!A1"/>
    <hyperlink ref="A7" location="'6'!A1" display="'6'!A1"/>
    <hyperlink ref="A8" location="'7'!A1" display="'7'!A1"/>
    <hyperlink ref="A9" location="'8'!A1" display="'8'!A1"/>
    <hyperlink ref="A10" location="'9'!A1" display="'9'!A1"/>
    <hyperlink ref="A11" location="'10'!A1" display="'10'!A1"/>
    <hyperlink ref="A12" location="'11'!A1" display="'11'!A1"/>
    <hyperlink ref="A13" location="'12'!A1" display="'12'!A1"/>
    <hyperlink ref="A14" location="'13'!A1" display="'13'!A1"/>
    <hyperlink ref="A15" location="'14'!A1" display="'14'!A1"/>
    <hyperlink ref="A16" location="'15'!A1" display="'15'!A1"/>
    <hyperlink ref="A17" location="'16'!A1" display="'16'!A1"/>
    <hyperlink ref="A18" location="'17'!A1" display="'17'!A1"/>
    <hyperlink ref="A19" location="'18'!A1" display="'18'!A1"/>
    <hyperlink ref="A20" location="'19'!A1" display="'19'!A1"/>
    <hyperlink ref="A21" location="'20'!A1" display="'20'!A1"/>
    <hyperlink ref="A22" location="'21'!A1" display="'21'!A1"/>
    <hyperlink ref="A23" location="'22'!A1" display="'22'!A1"/>
    <hyperlink ref="A24" location="'23'!A1" display="'23'!A1"/>
    <hyperlink ref="A25" location="'24'!A1" display="'24'!A1"/>
    <hyperlink ref="A26" location="'25'!A1" display="'25'!A1"/>
    <hyperlink ref="A27" location="'26'!A1" display="'26'!A1"/>
    <hyperlink ref="A28" location="'27'!A1" display="'27'!A1"/>
    <hyperlink ref="A29" location="'28'!A1" display="'28'!A1"/>
    <hyperlink ref="A30" location="'29'!A1" display="'29'!A1"/>
    <hyperlink ref="A31" location="'30'!A1" display="'30'!A1"/>
    <hyperlink ref="A32" location="'31'!A1" display="'31'!A1"/>
    <hyperlink ref="A33" location="'32'!A1" display="'32'!A1"/>
  </hyperlinks>
  <pageMargins left="0.7" right="0.7" top="0.75" bottom="0.75" header="0.3" footer="0.3"/>
  <pageSetup paperSize="9" scale="4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7" zoomScaleNormal="100" zoomScaleSheetLayoutView="100" workbookViewId="0">
      <selection activeCell="D19" sqref="D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2.25" customHeight="1" x14ac:dyDescent="0.25">
      <c r="B1" s="48" t="str">
        <f>'Порядок денний '!B19</f>
        <v>Про надання дозволу на розроблення проекту землеустрою щодо відведення земельної ділянки(Денисенко)</v>
      </c>
      <c r="C1" s="48"/>
      <c r="D1" s="48"/>
      <c r="E1" s="48"/>
      <c r="F1" s="48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SUBTOTAL(109,Таблица24567891011171819202122232425[За])</f>
        <v>20</v>
      </c>
      <c r="D30" s="27">
        <f>SUBTOTAL(109,Таблица24567891011171819202122232425[Проти])</f>
        <v>0</v>
      </c>
      <c r="E30" s="27">
        <f>SUBTOTAL(109,Таблица24567891011171819202122232425[Утрим])</f>
        <v>0</v>
      </c>
      <c r="F30" s="27">
        <f>SUBTOTAL(109,Таблица24567891011171819202122232425[не голосували])</f>
        <v>0</v>
      </c>
    </row>
    <row r="31" spans="1:7" x14ac:dyDescent="0.25">
      <c r="B31" t="str">
        <f>IF(Таблица24567891011171819202122232425[[#Totals],[За]]&gt;13,"Рішення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7" zoomScaleNormal="100" zoomScaleSheetLayoutView="100" workbookViewId="0">
      <selection activeCell="E29" sqref="C3:E2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.75" customHeight="1" x14ac:dyDescent="0.25">
      <c r="B1" s="45" t="str">
        <f>'Порядок денний '!B20</f>
        <v>Про надання дозволу на розроблення проекту землеустрою щодо відведення земельної ділянки(Лозовий)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SUBTOTAL(109,Таблица2456789101117181920212223242526[За])</f>
        <v>13</v>
      </c>
      <c r="D30" s="27">
        <f>SUBTOTAL(109,Таблица2456789101117181920212223242526[Проти])</f>
        <v>0</v>
      </c>
      <c r="E30" s="27">
        <f>SUBTOTAL(109,Таблица2456789101117181920212223242526[Утрим])</f>
        <v>7</v>
      </c>
      <c r="F30" s="27">
        <f>SUBTOTAL(109,Таблица2456789101117181920212223242526[не голосували])</f>
        <v>0</v>
      </c>
    </row>
    <row r="31" spans="1:7" x14ac:dyDescent="0.25">
      <c r="B31" t="str">
        <f>IF(Таблица2456789101117181920212223242526[[#Totals],[За]]&gt;13,"Рішення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E2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3" customHeight="1" x14ac:dyDescent="0.25">
      <c r="B1" s="47" t="str">
        <f>'Порядок денний '!B21</f>
        <v>Про надання дозволу на розроблення проекту землеустрою щодо відведення земельної ділянки(Лозова)</v>
      </c>
      <c r="C1" s="47"/>
      <c r="D1" s="47"/>
      <c r="E1" s="47"/>
      <c r="F1" s="47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SUBTOTAL(109,Таблица245678910111718192021222324252627[За])</f>
        <v>13</v>
      </c>
      <c r="D30" s="30">
        <f>SUBTOTAL(109,Таблица245678910111718192021222324252627[Проти])</f>
        <v>0</v>
      </c>
      <c r="E30" s="30">
        <f>SUBTOTAL(109,Таблица245678910111718192021222324252627[Утрим])</f>
        <v>7</v>
      </c>
      <c r="F30" s="30">
        <f>SUBTOTAL(109,Таблица245678910111718192021222324252627[не голосували])</f>
        <v>0</v>
      </c>
    </row>
    <row r="31" spans="1:7" x14ac:dyDescent="0.25">
      <c r="B31" t="str">
        <f>IF(Таблица245678910111718192021222324252627[[#Totals],[За]]&gt;13,"Рішення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E2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29.25" customHeight="1" x14ac:dyDescent="0.25">
      <c r="B1" s="45" t="str">
        <f>'Порядок денний '!B22</f>
        <v>Про надання дозволу на розроблення проекту землеустрою щодо відведення земельної ділянки(Онищенко)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SUBTOTAL(109,Таблица24567891011171819202122232425262728[За])</f>
        <v>13</v>
      </c>
      <c r="D30" s="30">
        <f>SUBTOTAL(109,Таблица24567891011171819202122232425262728[Проти])</f>
        <v>0</v>
      </c>
      <c r="E30" s="30">
        <f>SUBTOTAL(109,Таблица24567891011171819202122232425262728[Утрим])</f>
        <v>7</v>
      </c>
      <c r="F30" s="30">
        <f>SUBTOTAL(109,Таблица24567891011171819202122232425262728[не голосували])</f>
        <v>0</v>
      </c>
    </row>
    <row r="31" spans="1:7" x14ac:dyDescent="0.25">
      <c r="B31" t="str">
        <f>IF(Таблица24567891011171819202122232425262728[[#Totals],[За]]&gt;13,"Рішення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E2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0" customHeight="1" x14ac:dyDescent="0.25">
      <c r="B1" s="45" t="str">
        <f>'Порядок денний '!B23</f>
        <v>Про надання дозволу на розроблення проекту землеустрою щодо відведення земельної ділянки(Онищенко С.)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SUBTOTAL(109,Таблица2456789101117181920212223242526272829[За])</f>
        <v>13</v>
      </c>
      <c r="D30" s="30">
        <f>SUBTOTAL(109,Таблица2456789101117181920212223242526272829[Проти])</f>
        <v>0</v>
      </c>
      <c r="E30" s="30">
        <f>SUBTOTAL(109,Таблица2456789101117181920212223242526272829[Утрим])</f>
        <v>7</v>
      </c>
      <c r="F30" s="30">
        <f>SUBTOTAL(109,Таблица2456789101117181920212223242526272829[не голосували])</f>
        <v>0</v>
      </c>
    </row>
    <row r="31" spans="1:7" x14ac:dyDescent="0.25">
      <c r="B31" t="str">
        <f>IF(Таблица2456789101117181920212223242526272829[[#Totals],[За]]&gt;13,"Рішення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13" sqref="E13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1.5" customHeight="1" x14ac:dyDescent="0.25">
      <c r="B1" s="45" t="str">
        <f>'Порядок денний '!B24</f>
        <v>Про надання дозволу на розроблення проекту землеустрою щодо відведення земельної ділянки(Онищенко Ю.)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SUBTOTAL(109,Таблица245678910111718192021222324252627282930[За])</f>
        <v>16</v>
      </c>
      <c r="D30" s="27">
        <f>SUBTOTAL(109,Таблица245678910111718192021222324252627282930[Проти])</f>
        <v>0</v>
      </c>
      <c r="E30" s="27">
        <f>SUBTOTAL(109,Таблица245678910111718192021222324252627282930[Утрим])</f>
        <v>4</v>
      </c>
      <c r="F30" s="27">
        <f>SUBTOTAL(109,Таблица245678910111718192021222324252627282930[не голосували])</f>
        <v>0</v>
      </c>
    </row>
    <row r="31" spans="1:7" x14ac:dyDescent="0.25">
      <c r="B31" t="str">
        <f>IF(Таблица245678910111718192021222324252627282930[[#Totals],[За]]&gt;13,"Рішення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20" sqref="E20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2.25" customHeight="1" x14ac:dyDescent="0.25">
      <c r="B1" s="45" t="str">
        <f>'Порядок денний '!B25</f>
        <v>Про надання дозволу на розроблення проекту землеустрою щодо відведення земельної ділянки(Кульга)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>
        <v>1</v>
      </c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>
        <v>1</v>
      </c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>
        <v>1</v>
      </c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>
        <v>1</v>
      </c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>
        <v>1</v>
      </c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>
        <v>1</v>
      </c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>
        <v>1</v>
      </c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>
        <v>1</v>
      </c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>
        <v>1</v>
      </c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>
        <v>1</v>
      </c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SUBTOTAL(109,Таблица24567891011171819202122232425262728293031[За])</f>
        <v>10</v>
      </c>
      <c r="D30" s="27">
        <f>SUBTOTAL(109,Таблица24567891011171819202122232425262728293031[Проти])</f>
        <v>0</v>
      </c>
      <c r="E30" s="27">
        <f>SUBTOTAL(109,Таблица24567891011171819202122232425262728293031[Утрим])</f>
        <v>10</v>
      </c>
      <c r="F30" s="27">
        <f>SUBTOTAL(109,Таблица24567891011171819202122232425262728293031[не голосували])</f>
        <v>0</v>
      </c>
    </row>
    <row r="31" spans="1:7" x14ac:dyDescent="0.25">
      <c r="B31" t="str">
        <f>IF(Таблица24567891011171819202122232425262728293031[[#Totals],[За]]&gt;13,"Рішення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7" zoomScaleNormal="100" zoomScaleSheetLayoutView="100" workbookViewId="0">
      <selection activeCell="E15" sqref="E15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45" t="str">
        <f>'Порядок денний '!B26</f>
        <v>Про розгляд заяви Тищенка Л.П.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>
        <v>1</v>
      </c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>
        <v>1</v>
      </c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>
        <v>1</v>
      </c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SUBTOTAL(109,Таблица2456789101117181920212223242526272829303132[За])</f>
        <v>17</v>
      </c>
      <c r="D30" s="27">
        <f>SUBTOTAL(109,Таблица2456789101117181920212223242526272829303132[Проти])</f>
        <v>1</v>
      </c>
      <c r="E30" s="27">
        <f>SUBTOTAL(109,Таблица2456789101117181920212223242526272829303132[Утрим])</f>
        <v>2</v>
      </c>
      <c r="F30" s="27">
        <f>SUBTOTAL(109,Таблица2456789101117181920212223242526272829303132[не голосували])</f>
        <v>0</v>
      </c>
    </row>
    <row r="31" spans="1:7" x14ac:dyDescent="0.25">
      <c r="B31" t="str">
        <f>IF(Таблица2456789101117181920212223242526272829303132[[#Totals],[За]]&gt;13,"Рішення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6" zoomScaleNormal="100" zoomScaleSheetLayoutView="100" workbookViewId="0">
      <selection activeCell="E19" sqref="E19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7.5" customHeight="1" x14ac:dyDescent="0.25">
      <c r="B1" s="45" t="str">
        <f>'Порядок денний '!B27</f>
        <v>Про відмову в наданні дозволів на розроблення проектів землеустрою щодо відведення земельних ділянок у власність(Бедрак,Оніщенко)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>
        <v>1</v>
      </c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SUBTOTAL(109,Таблица245678910111718192021222324252627282930313233[За])</f>
        <v>19</v>
      </c>
      <c r="D30" s="27">
        <f>SUBTOTAL(109,Таблица245678910111718192021222324252627282930313233[Проти])</f>
        <v>0</v>
      </c>
      <c r="E30" s="27">
        <f>SUBTOTAL(109,Таблица245678910111718192021222324252627282930313233[Утрим])</f>
        <v>1</v>
      </c>
      <c r="F30" s="27">
        <f>SUBTOTAL(109,Таблица245678910111718192021222324252627282930313233[не голосували])</f>
        <v>0</v>
      </c>
    </row>
    <row r="31" spans="1:7" x14ac:dyDescent="0.25">
      <c r="B31" t="str">
        <f>IF(Таблица245678910111718192021222324252627282930313233[[#Totals],[За]]&gt;13,"Рішення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G15" sqref="G15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18.75" customHeight="1" x14ac:dyDescent="0.25">
      <c r="B1" s="47" t="str">
        <f>'Порядок денний '!B28</f>
        <v>Про припинення права користування земельними ділянками(Хорт,Пятниця,Вовчук…)</v>
      </c>
      <c r="C1" s="47"/>
      <c r="D1" s="47"/>
      <c r="E1" s="47"/>
      <c r="F1" s="47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SUBTOTAL(109,Таблица24567891011171819202122232425262728293031323334[За])</f>
        <v>20</v>
      </c>
      <c r="D30" s="30">
        <f>SUBTOTAL(109,Таблица24567891011171819202122232425262728293031323334[Проти])</f>
        <v>0</v>
      </c>
      <c r="E30" s="30">
        <f>SUBTOTAL(109,Таблица24567891011171819202122232425262728293031323334[Утрим])</f>
        <v>0</v>
      </c>
      <c r="F30" s="30">
        <f>SUBTOTAL(109,Таблица24567891011171819202122232425262728293031323334[не голосували])</f>
        <v>0</v>
      </c>
    </row>
    <row r="31" spans="1:7" x14ac:dyDescent="0.25">
      <c r="B31" t="str">
        <f>IF(Таблица24567891011171819202122232425262728293031323334[[#Totals],[За]]&gt;13,"Рішення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="85" zoomScaleNormal="100" zoomScaleSheetLayoutView="85" workbookViewId="0">
      <selection activeCell="E21" sqref="E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5.25" customHeight="1" x14ac:dyDescent="0.25">
      <c r="B1" s="45" t="str">
        <f>'Порядок денний '!B2</f>
        <v>Про затвердження проектів землеустрою щодо відведення земельних ділянок та передачу їх у власність (Чепурна,Скорозвон …)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>
        <v>1</v>
      </c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>
        <v>1</v>
      </c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SUBTOTAL(109,Таблица2[За])</f>
        <v>18</v>
      </c>
      <c r="D30" s="30">
        <f>SUBTOTAL(109,Таблица2[Проти])</f>
        <v>0</v>
      </c>
      <c r="E30" s="30">
        <f>SUBTOTAL(109,Таблица2[Утрим])</f>
        <v>1</v>
      </c>
      <c r="F30" s="30">
        <f>SUBTOTAL(109,Таблица2[не голосували])</f>
        <v>1</v>
      </c>
    </row>
    <row r="31" spans="1:7" x14ac:dyDescent="0.25">
      <c r="B31" t="str">
        <f>IF(Таблица2[[#Totals],[За]]&gt;13,"Рішення прийнято","Рішення не прийнято")</f>
        <v>Рішення прийнято</v>
      </c>
    </row>
    <row r="33" spans="1:2" x14ac:dyDescent="0.25">
      <c r="B33" s="39" t="str">
        <f>'лічильна комісія'!B33</f>
        <v>Лічильна комісія:</v>
      </c>
    </row>
    <row r="34" spans="1:2" ht="18.75" x14ac:dyDescent="0.3">
      <c r="A34" s="38">
        <f>'лічильна комісія'!A34</f>
        <v>1</v>
      </c>
      <c r="B34" s="38" t="str">
        <f>'лічильна комісія'!B34</f>
        <v>Коваленко М.П.</v>
      </c>
    </row>
    <row r="35" spans="1:2" ht="18.75" x14ac:dyDescent="0.3">
      <c r="A35" s="38" t="str">
        <f>'лічильна комісія'!A35</f>
        <v/>
      </c>
      <c r="B35" s="38"/>
    </row>
    <row r="36" spans="1:2" ht="18.75" x14ac:dyDescent="0.3">
      <c r="A36" s="38">
        <f>'лічильна комісія'!A36</f>
        <v>2</v>
      </c>
      <c r="B36" s="38" t="str">
        <f>'лічильна комісія'!B36</f>
        <v>Матухно І.Г.</v>
      </c>
    </row>
    <row r="37" spans="1:2" ht="18.75" x14ac:dyDescent="0.3">
      <c r="A37" s="38" t="str">
        <f>'лічильна комісія'!A37</f>
        <v/>
      </c>
      <c r="B37" s="38"/>
    </row>
    <row r="38" spans="1:2" ht="18.75" x14ac:dyDescent="0.3">
      <c r="A38" s="38">
        <f>'лічильна комісія'!A38</f>
        <v>3</v>
      </c>
      <c r="B38" s="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view="pageBreakPreview" zoomScaleNormal="100" zoomScaleSheetLayoutView="100" workbookViewId="0">
      <selection activeCell="I54" sqref="I54"/>
    </sheetView>
  </sheetViews>
  <sheetFormatPr defaultRowHeight="15" x14ac:dyDescent="0.25"/>
  <cols>
    <col min="1" max="1" width="4.7109375" customWidth="1"/>
    <col min="2" max="2" width="45" customWidth="1"/>
    <col min="3" max="5" width="10.7109375" customWidth="1"/>
    <col min="6" max="6" width="14.28515625" style="15" customWidth="1"/>
  </cols>
  <sheetData>
    <row r="1" spans="1:6" x14ac:dyDescent="0.25">
      <c r="B1" s="45" t="s">
        <v>89</v>
      </c>
      <c r="C1" s="45"/>
      <c r="D1" s="45"/>
      <c r="E1" s="45"/>
      <c r="F1" s="45"/>
    </row>
    <row r="2" spans="1:6" ht="29.25" customHeight="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</row>
    <row r="3" spans="1:6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</row>
    <row r="4" spans="1:6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>
        <v>1</v>
      </c>
      <c r="F4" s="12"/>
    </row>
    <row r="5" spans="1:6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>
        <v>1</v>
      </c>
      <c r="F5" s="12"/>
    </row>
    <row r="6" spans="1:6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</row>
    <row r="7" spans="1:6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</row>
    <row r="8" spans="1:6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>
        <v>1</v>
      </c>
    </row>
    <row r="9" spans="1:6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</row>
    <row r="10" spans="1:6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</row>
    <row r="11" spans="1:6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</row>
    <row r="12" spans="1:6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</row>
    <row r="13" spans="1:6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</row>
    <row r="14" spans="1:6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</row>
    <row r="15" spans="1:6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>
        <v>1</v>
      </c>
      <c r="F15" s="12"/>
    </row>
    <row r="16" spans="1:6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</row>
    <row r="17" spans="1:6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>
        <v>1</v>
      </c>
    </row>
    <row r="18" spans="1:6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</row>
    <row r="19" spans="1:6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</row>
    <row r="20" spans="1:6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</row>
    <row r="21" spans="1:6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>
        <v>1</v>
      </c>
      <c r="E21" s="12"/>
      <c r="F21" s="12"/>
    </row>
    <row r="22" spans="1:6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</row>
    <row r="23" spans="1:6" x14ac:dyDescent="0.25">
      <c r="A23" s="30" t="s">
        <v>11</v>
      </c>
      <c r="B23" s="30"/>
      <c r="C23" s="30">
        <f>SUBTOTAL(109,Таблица2456789101117181920212223242526272829303132333435[За])</f>
        <v>14</v>
      </c>
      <c r="D23" s="30">
        <f>SUBTOTAL(109,Таблица2456789101117181920212223242526272829303132333435[Проти])</f>
        <v>1</v>
      </c>
      <c r="E23" s="30">
        <f>SUBTOTAL(109,Таблица2456789101117181920212223242526272829303132333435[Утрим])</f>
        <v>3</v>
      </c>
      <c r="F23" s="30">
        <f>SUBTOTAL(109,Таблица2456789101117181920212223242526272829303132333435[не голосували])</f>
        <v>2</v>
      </c>
    </row>
    <row r="24" spans="1:6" x14ac:dyDescent="0.25">
      <c r="B24" t="str">
        <f>IF(Таблица2456789101117181920212223242526272829303132333435[[#Totals],[За]]&gt;13,"Рішення прийнято","Рішення не прийнято")</f>
        <v>Рішення прийнято</v>
      </c>
    </row>
    <row r="27" spans="1:6" x14ac:dyDescent="0.25">
      <c r="B27" s="39" t="s">
        <v>88</v>
      </c>
    </row>
    <row r="28" spans="1:6" x14ac:dyDescent="0.25">
      <c r="A28" s="44" t="s">
        <v>0</v>
      </c>
      <c r="B28" s="44" t="s">
        <v>2</v>
      </c>
      <c r="C28" s="44" t="s">
        <v>12</v>
      </c>
      <c r="D28" s="44" t="s">
        <v>13</v>
      </c>
      <c r="E28" s="44" t="s">
        <v>14</v>
      </c>
      <c r="F28" s="44" t="s">
        <v>27</v>
      </c>
    </row>
    <row r="29" spans="1:6" x14ac:dyDescent="0.25">
      <c r="A29" s="44">
        <v>1</v>
      </c>
      <c r="B29" s="44" t="s">
        <v>15</v>
      </c>
      <c r="C29" s="44"/>
      <c r="D29" s="44"/>
      <c r="E29" s="44">
        <v>1</v>
      </c>
      <c r="F29" s="44"/>
    </row>
    <row r="30" spans="1:6" x14ac:dyDescent="0.25">
      <c r="A30" s="44">
        <v>2</v>
      </c>
      <c r="B30" s="44" t="s">
        <v>30</v>
      </c>
      <c r="C30" s="44">
        <v>1</v>
      </c>
      <c r="D30" s="44"/>
      <c r="E30" s="44"/>
      <c r="F30" s="44"/>
    </row>
    <row r="31" spans="1:6" x14ac:dyDescent="0.25">
      <c r="A31" s="44">
        <v>3</v>
      </c>
      <c r="B31" s="44" t="s">
        <v>42</v>
      </c>
      <c r="C31" s="44">
        <v>1</v>
      </c>
      <c r="D31" s="44"/>
      <c r="E31" s="44"/>
      <c r="F31" s="44"/>
    </row>
    <row r="32" spans="1:6" x14ac:dyDescent="0.25">
      <c r="A32" s="44">
        <v>4</v>
      </c>
      <c r="B32" s="44" t="s">
        <v>41</v>
      </c>
      <c r="C32" s="44"/>
      <c r="D32" s="44"/>
      <c r="E32" s="44">
        <v>1</v>
      </c>
      <c r="F32" s="44"/>
    </row>
    <row r="33" spans="1:6" x14ac:dyDescent="0.25">
      <c r="A33" s="44">
        <v>5</v>
      </c>
      <c r="B33" s="44" t="s">
        <v>28</v>
      </c>
      <c r="C33" s="44"/>
      <c r="D33" s="44"/>
      <c r="E33" s="44">
        <v>1</v>
      </c>
      <c r="F33" s="44"/>
    </row>
    <row r="34" spans="1:6" x14ac:dyDescent="0.25">
      <c r="A34" s="44">
        <v>6</v>
      </c>
      <c r="B34" s="44" t="s">
        <v>47</v>
      </c>
      <c r="C34" s="44"/>
      <c r="D34" s="44"/>
      <c r="E34" s="44"/>
      <c r="F34" s="44">
        <v>1</v>
      </c>
    </row>
    <row r="35" spans="1:6" x14ac:dyDescent="0.25">
      <c r="A35" s="44">
        <v>7</v>
      </c>
      <c r="B35" s="44" t="s">
        <v>32</v>
      </c>
      <c r="C35" s="44"/>
      <c r="D35" s="44"/>
      <c r="E35" s="44">
        <v>1</v>
      </c>
      <c r="F35" s="44"/>
    </row>
    <row r="36" spans="1:6" x14ac:dyDescent="0.25">
      <c r="A36" s="44">
        <v>8</v>
      </c>
      <c r="B36" s="44" t="s">
        <v>44</v>
      </c>
      <c r="C36" s="44"/>
      <c r="D36" s="44"/>
      <c r="E36" s="44">
        <v>1</v>
      </c>
      <c r="F36" s="44"/>
    </row>
    <row r="37" spans="1:6" x14ac:dyDescent="0.25">
      <c r="A37" s="44">
        <v>9</v>
      </c>
      <c r="B37" s="44" t="s">
        <v>40</v>
      </c>
      <c r="C37" s="44">
        <v>1</v>
      </c>
      <c r="D37" s="44"/>
      <c r="E37" s="44"/>
      <c r="F37" s="44"/>
    </row>
    <row r="38" spans="1:6" x14ac:dyDescent="0.25">
      <c r="A38" s="44">
        <v>10</v>
      </c>
      <c r="B38" s="44" t="s">
        <v>7</v>
      </c>
      <c r="C38" s="44">
        <v>1</v>
      </c>
      <c r="D38" s="44"/>
      <c r="E38" s="44"/>
      <c r="F38" s="44"/>
    </row>
    <row r="39" spans="1:6" x14ac:dyDescent="0.25">
      <c r="A39" s="44">
        <v>11</v>
      </c>
      <c r="B39" s="44" t="s">
        <v>45</v>
      </c>
      <c r="C39" s="44">
        <v>1</v>
      </c>
      <c r="D39" s="44"/>
      <c r="E39" s="44"/>
      <c r="F39" s="44"/>
    </row>
    <row r="40" spans="1:6" x14ac:dyDescent="0.25">
      <c r="A40" s="44">
        <v>12</v>
      </c>
      <c r="B40" s="44" t="s">
        <v>31</v>
      </c>
      <c r="C40" s="44">
        <v>1</v>
      </c>
      <c r="D40" s="44"/>
      <c r="E40" s="44"/>
      <c r="F40" s="44"/>
    </row>
    <row r="41" spans="1:6" x14ac:dyDescent="0.25">
      <c r="A41" s="44">
        <v>13</v>
      </c>
      <c r="B41" s="44" t="s">
        <v>49</v>
      </c>
      <c r="C41" s="44"/>
      <c r="D41" s="44"/>
      <c r="E41" s="44">
        <v>1</v>
      </c>
      <c r="F41" s="44"/>
    </row>
    <row r="42" spans="1:6" x14ac:dyDescent="0.25">
      <c r="A42" s="44">
        <v>14</v>
      </c>
      <c r="B42" s="44" t="s">
        <v>39</v>
      </c>
      <c r="C42" s="44">
        <v>1</v>
      </c>
      <c r="D42" s="44"/>
      <c r="E42" s="44"/>
      <c r="F42" s="44"/>
    </row>
    <row r="43" spans="1:6" x14ac:dyDescent="0.25">
      <c r="A43" s="44">
        <v>15</v>
      </c>
      <c r="B43" s="44" t="s">
        <v>5</v>
      </c>
      <c r="C43" s="44"/>
      <c r="D43" s="44"/>
      <c r="E43" s="44"/>
      <c r="F43" s="44">
        <v>1</v>
      </c>
    </row>
    <row r="44" spans="1:6" x14ac:dyDescent="0.25">
      <c r="A44" s="44">
        <v>16</v>
      </c>
      <c r="B44" s="44" t="s">
        <v>35</v>
      </c>
      <c r="C44" s="44"/>
      <c r="D44" s="44"/>
      <c r="E44" s="44">
        <v>1</v>
      </c>
      <c r="F44" s="44"/>
    </row>
    <row r="45" spans="1:6" x14ac:dyDescent="0.25">
      <c r="A45" s="44">
        <v>17</v>
      </c>
      <c r="B45" s="44" t="s">
        <v>8</v>
      </c>
      <c r="C45" s="44"/>
      <c r="D45" s="44"/>
      <c r="E45" s="44"/>
      <c r="F45" s="44">
        <v>1</v>
      </c>
    </row>
    <row r="46" spans="1:6" x14ac:dyDescent="0.25">
      <c r="A46" s="44">
        <v>18</v>
      </c>
      <c r="B46" s="44" t="s">
        <v>48</v>
      </c>
      <c r="C46" s="44"/>
      <c r="D46" s="44"/>
      <c r="E46" s="44">
        <v>1</v>
      </c>
      <c r="F46" s="44"/>
    </row>
    <row r="47" spans="1:6" x14ac:dyDescent="0.25">
      <c r="A47" s="44">
        <v>19</v>
      </c>
      <c r="B47" s="44" t="s">
        <v>10</v>
      </c>
      <c r="C47" s="44">
        <v>1</v>
      </c>
      <c r="D47" s="44"/>
      <c r="E47" s="44"/>
      <c r="F47" s="44"/>
    </row>
    <row r="48" spans="1:6" x14ac:dyDescent="0.25">
      <c r="A48" s="44">
        <v>20</v>
      </c>
      <c r="B48" s="44" t="s">
        <v>37</v>
      </c>
      <c r="C48" s="44">
        <v>1</v>
      </c>
      <c r="D48" s="44"/>
      <c r="E48" s="44"/>
      <c r="F48" s="44"/>
    </row>
    <row r="49" spans="1:6" s="39" customFormat="1" x14ac:dyDescent="0.25">
      <c r="A49" s="50" t="s">
        <v>11</v>
      </c>
      <c r="B49" s="50"/>
      <c r="C49" s="50">
        <f>SUM(C29:C48)</f>
        <v>9</v>
      </c>
      <c r="D49" s="50">
        <f>SUM(D29:D48)</f>
        <v>0</v>
      </c>
      <c r="E49" s="50">
        <f>SUM(E29:E48)</f>
        <v>8</v>
      </c>
      <c r="F49" s="50">
        <f>SUM(F29:F48)</f>
        <v>3</v>
      </c>
    </row>
    <row r="50" spans="1:6" x14ac:dyDescent="0.25">
      <c r="B50" t="str">
        <f>'лічильна комісія'!B33</f>
        <v>Лічильна комісія:</v>
      </c>
    </row>
    <row r="51" spans="1:6" x14ac:dyDescent="0.25">
      <c r="A51">
        <f>'лічильна комісія'!A34</f>
        <v>1</v>
      </c>
      <c r="B51" t="str">
        <f>'лічильна комісія'!B34</f>
        <v>Коваленко М.П.</v>
      </c>
    </row>
    <row r="52" spans="1:6" x14ac:dyDescent="0.25">
      <c r="A52" t="str">
        <f>'лічильна комісія'!A35</f>
        <v/>
      </c>
    </row>
    <row r="53" spans="1:6" x14ac:dyDescent="0.25">
      <c r="A53">
        <f>'лічильна комісія'!A36</f>
        <v>2</v>
      </c>
      <c r="B53" t="str">
        <f>'лічильна комісія'!B36</f>
        <v>Матухно І.Г.</v>
      </c>
    </row>
    <row r="54" spans="1:6" x14ac:dyDescent="0.25">
      <c r="A54" t="str">
        <f>'лічильна комісія'!A37</f>
        <v/>
      </c>
    </row>
    <row r="55" spans="1:6" x14ac:dyDescent="0.25">
      <c r="A55">
        <f>'лічильна комісія'!A38</f>
        <v>3</v>
      </c>
      <c r="B55" t="str">
        <f>'лічильна комісія'!B38</f>
        <v>Цопа М.М.</v>
      </c>
    </row>
    <row r="57" spans="1:6" x14ac:dyDescent="0.25">
      <c r="B57" t="s">
        <v>87</v>
      </c>
    </row>
  </sheetData>
  <mergeCells count="1">
    <mergeCell ref="B1:F1"/>
  </mergeCells>
  <pageMargins left="0.7" right="0.7" top="0.75" bottom="0.75" header="0.3" footer="0.3"/>
  <pageSetup paperSize="9" scale="79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7" zoomScaleNormal="100" zoomScaleSheetLayoutView="100" workbookViewId="0">
      <selection activeCell="C21" sqref="C2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28.5" customHeight="1" x14ac:dyDescent="0.25">
      <c r="B1" s="45" t="str">
        <f>'Порядок денний '!B30</f>
        <v>Про продаж земельної ділянки комунальної власності несільськогосподарського призначення(Жук О.)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SUBTOTAL(109,Таблица245678910111718192021222324252627282930313233343536[За])</f>
        <v>20</v>
      </c>
      <c r="D30" s="27">
        <f>SUBTOTAL(109,Таблица245678910111718192021222324252627282930313233343536[Проти])</f>
        <v>0</v>
      </c>
      <c r="E30" s="27">
        <f>SUBTOTAL(109,Таблица245678910111718192021222324252627282930313233343536[Утрим])</f>
        <v>0</v>
      </c>
      <c r="F30" s="27">
        <f>SUBTOTAL(109,Таблица245678910111718192021222324252627282930313233343536[не голосували])</f>
        <v>0</v>
      </c>
    </row>
    <row r="31" spans="1:7" x14ac:dyDescent="0.25">
      <c r="B31" t="str">
        <f>IF(Таблица245678910111718192021222324252627282930313233343536[[#Totals],[За]]&gt;13,"Рішення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2.25" customHeight="1" x14ac:dyDescent="0.25">
      <c r="B1" s="45" t="str">
        <f>'Порядок денний '!B31</f>
        <v>Про внесення змін в рішення Варвинської селищної ради від 16 серпня 2018 року № 5-13/18отг «Про передачу в оренду земельної ділянки»(Полонець О.)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SUBTOTAL(109,Таблица24567891011171819202122232425262728293031323334353637[За])</f>
        <v>20</v>
      </c>
      <c r="D30" s="30">
        <f>SUBTOTAL(109,Таблица24567891011171819202122232425262728293031323334353637[Проти])</f>
        <v>0</v>
      </c>
      <c r="E30" s="30">
        <f>SUBTOTAL(109,Таблица24567891011171819202122232425262728293031323334353637[Утрим])</f>
        <v>0</v>
      </c>
      <c r="F30" s="30">
        <f>SUBTOTAL(109,Таблица24567891011171819202122232425262728293031323334353637[не голосували])</f>
        <v>0</v>
      </c>
    </row>
    <row r="31" spans="1:7" x14ac:dyDescent="0.25">
      <c r="B31" t="str">
        <f>IF(Таблица24567891011171819202122232425262728293031323334353637[[#Totals],[За]]&gt;13,"Рішення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0" zoomScaleNormal="100" zoomScaleSheetLayoutView="100" workbookViewId="0">
      <selection activeCell="D21" sqref="D21"/>
    </sheetView>
  </sheetViews>
  <sheetFormatPr defaultRowHeight="15" x14ac:dyDescent="0.25"/>
  <cols>
    <col min="2" max="2" width="45" customWidth="1"/>
    <col min="3" max="5" width="10.7109375" customWidth="1"/>
    <col min="6" max="6" width="14.140625" style="15" customWidth="1"/>
    <col min="7" max="7" width="11.85546875" style="15" customWidth="1"/>
  </cols>
  <sheetData>
    <row r="1" spans="1:7" x14ac:dyDescent="0.25">
      <c r="B1" s="45" t="str">
        <f>'Порядок денний '!B32</f>
        <v>Звіт селищного голови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SUBTOTAL(109,Таблица2456789101117181920212223242526272829303132333435363738[За])</f>
        <v>18</v>
      </c>
      <c r="D30" s="27">
        <f>SUBTOTAL(109,Таблица2456789101117181920212223242526272829303132333435363738[Проти])</f>
        <v>0</v>
      </c>
      <c r="E30" s="27">
        <f>SUBTOTAL(109,Таблица2456789101117181920212223242526272829303132333435363738[Утрим])</f>
        <v>0</v>
      </c>
      <c r="F30" s="27">
        <f>SUBTOTAL(109,Таблица2456789101117181920212223242526272829303132333435363738[не голосували])</f>
        <v>0</v>
      </c>
    </row>
    <row r="31" spans="1:7" x14ac:dyDescent="0.25">
      <c r="B31" t="str">
        <f>IF(Таблица2456789101117181920212223242526272829303132333435363738[[#Totals],[За]]&gt;13,"Рішення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7" orientation="portrait" r:id="rId1"/>
  <colBreaks count="1" manualBreakCount="1">
    <brk id="6" max="1048575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23" sqref="C23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45" t="str">
        <f>'Порядок денний '!B33</f>
        <v>Про втрату чинності рішення селищної ради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>
        <v>1</v>
      </c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>
        <v>1</v>
      </c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SUBTOTAL(109,Таблица245678910111718192021222324252627282930313233343536373839[За])</f>
        <v>16</v>
      </c>
      <c r="D30" s="27">
        <f>SUBTOTAL(109,Таблица245678910111718192021222324252627282930313233343536373839[Проти])</f>
        <v>1</v>
      </c>
      <c r="E30" s="27">
        <f>SUBTOTAL(109,Таблица245678910111718192021222324252627282930313233343536373839[Утрим])</f>
        <v>0</v>
      </c>
      <c r="F30" s="27">
        <f>SUBTOTAL(109,Таблица245678910111718192021222324252627282930313233343536373839[не голосували])</f>
        <v>1</v>
      </c>
    </row>
    <row r="31" spans="1:7" x14ac:dyDescent="0.25">
      <c r="B31" t="str">
        <f>IF(Таблица245678910111718192021222324252627282930313233343536373839[[#Totals],[За]]&gt;13,"Рішення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45" t="e">
        <f>'Порядок денний '!#REF!</f>
        <v>#REF!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SUBTOTAL(109,Таблица24567891011171819202122232425262728293031323334353637383940[За])</f>
        <v>0</v>
      </c>
      <c r="D30" s="27">
        <f>SUBTOTAL(109,Таблица24567891011171819202122232425262728293031323334353637383940[Проти])</f>
        <v>0</v>
      </c>
      <c r="E30" s="27">
        <f>SUBTOTAL(109,Таблица24567891011171819202122232425262728293031323334353637383940[Утрим])</f>
        <v>0</v>
      </c>
      <c r="F30" s="27">
        <f>SUBTOTAL(109,Таблица24567891011171819202122232425262728293031323334353637383940[не голосували])</f>
        <v>0</v>
      </c>
    </row>
    <row r="31" spans="1:7" x14ac:dyDescent="0.25">
      <c r="B31" t="str">
        <f>IF(Таблица24567891011171819202122232425262728293031323334353637383940[[#Totals],[За]]&gt;13,"Рішення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45" t="e">
        <f>'Порядок денний '!#REF!</f>
        <v>#REF!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SUBTOTAL(109,Таблица2456789101117181920212223242526272829303132333435363738394041[За])</f>
        <v>0</v>
      </c>
      <c r="D30" s="27">
        <f>SUBTOTAL(109,Таблица2456789101117181920212223242526272829303132333435363738394041[Проти])</f>
        <v>0</v>
      </c>
      <c r="E30" s="27">
        <f>SUBTOTAL(109,Таблица2456789101117181920212223242526272829303132333435363738394041[Утрим])</f>
        <v>0</v>
      </c>
      <c r="F30" s="27">
        <f>SUBTOTAL(109,Таблица2456789101117181920212223242526272829303132333435363738394041[не голосували])</f>
        <v>0</v>
      </c>
    </row>
    <row r="31" spans="1:7" x14ac:dyDescent="0.25">
      <c r="B31" t="str">
        <f>IF(Таблица2456789101117181920212223242526272829303132333435363738394041[[#Totals],[За]]&gt;13,"Рішення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B1" sqref="B1:F1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45" t="e">
        <f>'Порядок денний '!#REF!</f>
        <v>#REF!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SUBTOTAL(109,Таблица245678910111718192021222324252627282930313233343536373839404142[За])</f>
        <v>0</v>
      </c>
      <c r="D30" s="27">
        <f>SUBTOTAL(109,Таблица245678910111718192021222324252627282930313233343536373839404142[Проти])</f>
        <v>0</v>
      </c>
      <c r="E30" s="27">
        <f>SUBTOTAL(109,Таблица245678910111718192021222324252627282930313233343536373839404142[Утрим])</f>
        <v>0</v>
      </c>
      <c r="F30" s="27">
        <f>SUBTOTAL(109,Таблица245678910111718192021222324252627282930313233343536373839404142[не голосували])</f>
        <v>0</v>
      </c>
    </row>
    <row r="31" spans="1:7" x14ac:dyDescent="0.25">
      <c r="B31" t="str">
        <f>IF(Таблица245678910111718192021222324252627282930313233343536373839404142[[#Totals],[За]]&gt;13,"Рішення прийнято","Рішення не прийнято")</f>
        <v>Рішення не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6" width="16.42578125" style="15" bestFit="1" customWidth="1"/>
    <col min="7" max="7" width="11.85546875" style="15" customWidth="1"/>
  </cols>
  <sheetData>
    <row r="1" spans="1:7" x14ac:dyDescent="0.25">
      <c r="B1" t="s">
        <v>18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C30" s="27">
        <f>SUBTOTAL(109,Таблица256789101112[За])</f>
        <v>0</v>
      </c>
      <c r="D30" s="27">
        <f>SUBTOTAL(109,Таблица256789101112[Проти])</f>
        <v>0</v>
      </c>
      <c r="E30" s="27">
        <f>SUBTOTAL(109,Таблица256789101112[Утрим])</f>
        <v>0</v>
      </c>
      <c r="F30" s="27">
        <f>SUBTOTAL(109,Таблица256789101112[не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5" workbookViewId="0">
      <selection activeCell="B37" sqref="B37"/>
    </sheetView>
  </sheetViews>
  <sheetFormatPr defaultRowHeight="15" x14ac:dyDescent="0.25"/>
  <cols>
    <col min="2" max="2" width="39.7109375" bestFit="1" customWidth="1"/>
    <col min="3" max="5" width="10.7109375" customWidth="1"/>
    <col min="6" max="7" width="11.85546875" style="15" customWidth="1"/>
  </cols>
  <sheetData>
    <row r="1" spans="1:7" x14ac:dyDescent="0.25">
      <c r="B1" t="s">
        <v>19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SUBTOTAL(109,Таблица256789101112131415[За])</f>
        <v>0</v>
      </c>
      <c r="D30" s="27">
        <f>SUBTOTAL(109,Таблица256789101112131415[Проти])</f>
        <v>0</v>
      </c>
      <c r="E30" s="27">
        <f>SUBTOTAL(109,Таблица256789101112131415[Утрим])</f>
        <v>0</v>
      </c>
      <c r="F30" s="27">
        <f>SUBTOTAL(109,Таблица256789101112131415[не голосували])</f>
        <v>0</v>
      </c>
    </row>
    <row r="33" spans="1:2" x14ac:dyDescent="0.25">
      <c r="B33" t="s">
        <v>50</v>
      </c>
    </row>
    <row r="34" spans="1:2" ht="18.75" x14ac:dyDescent="0.3">
      <c r="A34">
        <f>IF(ISBLANK(B34),"",COUNTA($B$34:B34))</f>
        <v>1</v>
      </c>
      <c r="B34" s="38" t="s">
        <v>51</v>
      </c>
    </row>
    <row r="35" spans="1:2" ht="18.75" x14ac:dyDescent="0.3">
      <c r="A35" t="str">
        <f>IF(ISBLANK(B35),"",COUNTA($B$34:B35))</f>
        <v/>
      </c>
      <c r="B35" s="38"/>
    </row>
    <row r="36" spans="1:2" ht="18.75" x14ac:dyDescent="0.3">
      <c r="A36">
        <f>IF(ISBLANK(B36),"",COUNTA($B$34:B36))</f>
        <v>2</v>
      </c>
      <c r="B36" s="38" t="s">
        <v>52</v>
      </c>
    </row>
    <row r="37" spans="1:2" ht="18.75" x14ac:dyDescent="0.3">
      <c r="A37" t="str">
        <f>IF(ISBLANK(B37),"",COUNTA($B$34:B37))</f>
        <v/>
      </c>
      <c r="B37" s="38"/>
    </row>
    <row r="38" spans="1:2" ht="18.75" x14ac:dyDescent="0.3">
      <c r="A38">
        <f>IF(ISBLANK(#REF!),"",COUNTA($B$34:B38))</f>
        <v>3</v>
      </c>
      <c r="B38" s="38" t="s">
        <v>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3" zoomScale="85" zoomScaleNormal="100" zoomScaleSheetLayoutView="85" workbookViewId="0">
      <selection activeCell="E20" sqref="E20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8.25" customHeight="1" x14ac:dyDescent="0.25">
      <c r="B1" s="46" t="str">
        <f>'Порядок денний '!B3</f>
        <v>Про затвердження технічних документацій із землеустрою щодо встановлення (відновлення) меж земельних ділянок в натурі (на місцевості)(Первун,Місько…)</v>
      </c>
      <c r="C1" s="46"/>
      <c r="D1" s="46"/>
      <c r="E1" s="46"/>
      <c r="F1" s="46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>
        <v>1</v>
      </c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SUBTOTAL(109,Таблица24[За])</f>
        <v>19</v>
      </c>
      <c r="D30" s="30">
        <f>SUBTOTAL(109,Таблица24[Проти])</f>
        <v>0</v>
      </c>
      <c r="E30" s="30">
        <f>SUBTOTAL(109,Таблица24[Утрим])</f>
        <v>0</v>
      </c>
      <c r="F30" s="30">
        <f>SUBTOTAL(109,Таблица24[не голосували])</f>
        <v>1</v>
      </c>
    </row>
    <row r="31" spans="1:7" x14ac:dyDescent="0.25">
      <c r="B31" t="str">
        <f>IF(Таблица24[[#Totals],[За]]&gt;13,"Рішення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1" spans="1:7" x14ac:dyDescent="0.25">
      <c r="B1" t="s">
        <v>20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SUBTOTAL(109,Таблица2567891011121314[За])</f>
        <v>0</v>
      </c>
      <c r="D30" s="27">
        <f>SUBTOTAL(109,Таблица2567891011121314[Проти])</f>
        <v>0</v>
      </c>
      <c r="E30" s="27">
        <f>SUBTOTAL(109,Таблица2567891011121314[Утрим])</f>
        <v>0</v>
      </c>
      <c r="F30" s="27">
        <f>SUBTOTAL(109,Таблица2567891011121314[не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25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25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25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25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25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25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25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25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25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25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25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25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25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25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SUBTOTAL(109,Таблица2567891011121316[За])</f>
        <v>0</v>
      </c>
      <c r="D30" s="27">
        <f>SUBTOTAL(109,Таблица2567891011121316[Проти])</f>
        <v>0</v>
      </c>
      <c r="E30" s="27">
        <f>SUBTOTAL(109,Таблица2567891011121316[Утрим])</f>
        <v>0</v>
      </c>
      <c r="F30" s="27">
        <f>SUBTOTAL(109,Таблица2567891011121316[не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" sqref="B3"/>
    </sheetView>
  </sheetViews>
  <sheetFormatPr defaultRowHeight="15" x14ac:dyDescent="0.25"/>
  <cols>
    <col min="2" max="2" width="35.85546875" customWidth="1"/>
    <col min="3" max="5" width="10.7109375" customWidth="1"/>
    <col min="6" max="7" width="11.85546875" style="15" customWidth="1"/>
  </cols>
  <sheetData>
    <row r="1" spans="1:7" x14ac:dyDescent="0.25">
      <c r="B1" t="s">
        <v>21</v>
      </c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/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/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/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/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/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/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/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/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/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/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/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/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/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/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/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/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/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/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/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/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27" t="s">
        <v>11</v>
      </c>
      <c r="B30" s="27"/>
      <c r="C30" s="27">
        <f>SUBTOTAL(109,Таблица25678910111213[За])</f>
        <v>0</v>
      </c>
      <c r="D30" s="27">
        <f>SUBTOTAL(109,Таблица25678910111213[Проти])</f>
        <v>0</v>
      </c>
      <c r="E30" s="27">
        <f>SUBTOTAL(109,Таблица25678910111213[Утрим])</f>
        <v>0</v>
      </c>
      <c r="F30" s="27">
        <f>SUBTOTAL(109,Таблица25678910111213[не голосували])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3" sqref="L2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x14ac:dyDescent="0.25">
      <c r="B1" s="45" t="str">
        <f>'Порядок денний '!B4</f>
        <v>Про розгляд клопотання СТОВ «Дружба-Нова»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SUBTOTAL(109,Таблица245[За])</f>
        <v>20</v>
      </c>
      <c r="D30" s="30">
        <f>SUBTOTAL(109,Таблица245[Проти])</f>
        <v>0</v>
      </c>
      <c r="E30" s="30">
        <f>SUBTOTAL(109,Таблица245[Утрим])</f>
        <v>0</v>
      </c>
      <c r="F30" s="30">
        <f>SUBTOTAL(109,Таблица245[не голосували])</f>
        <v>0</v>
      </c>
    </row>
    <row r="31" spans="1:7" x14ac:dyDescent="0.25">
      <c r="B31" t="str">
        <f>IF(Таблица245[[#Totals],[За]]&gt;13,"Рішення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9" customHeight="1" x14ac:dyDescent="0.25">
      <c r="B1" s="45" t="str">
        <f>'Порядок денний '!B5</f>
        <v>Про надання дозволів на розроблення технічних документацій із землеустрою щодо інвентаризації масивів земель сільськогосподарського призначення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SUBTOTAL(109,Таблица2456[За])</f>
        <v>20</v>
      </c>
      <c r="D30" s="30">
        <f>SUBTOTAL(109,Таблица2456[Проти])</f>
        <v>0</v>
      </c>
      <c r="E30" s="30">
        <f>SUBTOTAL(109,Таблица2456[Утрим])</f>
        <v>0</v>
      </c>
      <c r="F30" s="30">
        <f>SUBTOTAL(109,Таблица2456[не голосували])</f>
        <v>0</v>
      </c>
    </row>
    <row r="31" spans="1:7" x14ac:dyDescent="0.25">
      <c r="B31" t="str">
        <f>IF(Таблица2456[[#Totals],[За]]&gt;13,"Рішення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47.25" customHeight="1" x14ac:dyDescent="0.25">
      <c r="B1" s="45" t="str">
        <f>'Порядок денний '!B6</f>
        <v>Про затвердження Програми проведення інвентаризації масивів земель сільськогосподарського призначення на території Варвинської селищної ради Варвинського району Чернігівської області на 2019 рік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SUBTOTAL(109,Таблица24567[За])</f>
        <v>20</v>
      </c>
      <c r="D30" s="30">
        <f>SUBTOTAL(109,Таблица24567[Проти])</f>
        <v>0</v>
      </c>
      <c r="E30" s="30">
        <f>SUBTOTAL(109,Таблица24567[Утрим])</f>
        <v>0</v>
      </c>
      <c r="F30" s="30">
        <f>SUBTOTAL(109,Таблица24567[не голосували])</f>
        <v>0</v>
      </c>
    </row>
    <row r="31" spans="1:7" x14ac:dyDescent="0.25">
      <c r="B31" t="str">
        <f>IF(Таблица24567[[#Totals],[За]]&gt;13,"Рішення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50.25" customHeight="1" x14ac:dyDescent="0.25">
      <c r="B1" s="45" t="str">
        <f>'Порядок денний '!B7</f>
        <v>Про надання дозволів на розроблення технічних документацій із землеустрою щодо встановлення (відновлення) меж земельних ділянок в натурі (на місцевості)(Даніленко,Матухно)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SUBTOTAL(109,Таблица245678[За])</f>
        <v>20</v>
      </c>
      <c r="D30" s="30">
        <f>SUBTOTAL(109,Таблица245678[Проти])</f>
        <v>0</v>
      </c>
      <c r="E30" s="30">
        <f>SUBTOTAL(109,Таблица245678[Утрим])</f>
        <v>0</v>
      </c>
      <c r="F30" s="30">
        <f>SUBTOTAL(109,Таблица245678[не голосували])</f>
        <v>0</v>
      </c>
    </row>
    <row r="31" spans="1:7" x14ac:dyDescent="0.25">
      <c r="B31" t="str">
        <f>IF(Таблица245678[[#Totals],[За]]&gt;13,"Рішення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C3" sqref="C3:C22"/>
    </sheetView>
  </sheetViews>
  <sheetFormatPr defaultRowHeight="15" x14ac:dyDescent="0.25"/>
  <cols>
    <col min="2" max="2" width="45" customWidth="1"/>
    <col min="3" max="5" width="10.7109375" customWidth="1"/>
    <col min="6" max="7" width="11.85546875" style="15" customWidth="1"/>
  </cols>
  <sheetData>
    <row r="1" spans="1:7" ht="36.75" customHeight="1" x14ac:dyDescent="0.25">
      <c r="B1" s="45" t="str">
        <f>'Порядок денний '!B8</f>
        <v>Про надання дозволів на розроблення проектів землеустрою щодо відведення земельних ділянок(Куркін,Бейкун,Лисова)</v>
      </c>
      <c r="C1" s="45"/>
      <c r="D1" s="45"/>
      <c r="E1" s="45"/>
      <c r="F1" s="45"/>
    </row>
    <row r="2" spans="1:7" ht="21" x14ac:dyDescent="0.25">
      <c r="A2" s="10" t="s">
        <v>0</v>
      </c>
      <c r="B2" s="11" t="s">
        <v>2</v>
      </c>
      <c r="C2" s="9" t="s">
        <v>12</v>
      </c>
      <c r="D2" s="9" t="s">
        <v>13</v>
      </c>
      <c r="E2" s="9" t="s">
        <v>14</v>
      </c>
      <c r="F2" s="13" t="s">
        <v>27</v>
      </c>
      <c r="G2" s="13"/>
    </row>
    <row r="3" spans="1:7" x14ac:dyDescent="0.25">
      <c r="A3" s="12">
        <f>IF(ISBLANK(B3),"",COUNTA($B$3:B3))</f>
        <v>1</v>
      </c>
      <c r="B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Саверська-Лихошва Валентина Василівна</v>
      </c>
      <c r="C3" s="12">
        <v>1</v>
      </c>
      <c r="D3" s="12"/>
      <c r="E3" s="12"/>
      <c r="F3" s="25"/>
      <c r="G3" s="13"/>
    </row>
    <row r="4" spans="1:7" x14ac:dyDescent="0.25">
      <c r="A4" s="12">
        <f>IF(ISBLANK(B4),"",COUNTA($B$3:B4))</f>
        <v>2</v>
      </c>
      <c r="B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Андрієнко Андрій Іванович</v>
      </c>
      <c r="C4" s="12">
        <v>1</v>
      </c>
      <c r="D4" s="12"/>
      <c r="E4" s="12"/>
      <c r="F4" s="12"/>
      <c r="G4" s="13"/>
    </row>
    <row r="5" spans="1:7" x14ac:dyDescent="0.25">
      <c r="A5" s="12">
        <f>IF(ISBLANK(B5),"",COUNTA($B$3:B5))</f>
        <v>3</v>
      </c>
      <c r="B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Борсук Юрій Миколайович</v>
      </c>
      <c r="C5" s="12">
        <v>1</v>
      </c>
      <c r="D5" s="12"/>
      <c r="E5" s="12"/>
      <c r="F5" s="12"/>
      <c r="G5" s="13"/>
    </row>
    <row r="6" spans="1:7" x14ac:dyDescent="0.25">
      <c r="A6" s="12">
        <f>IF(ISBLANK(B6),"",COUNTA($B$3:B6))</f>
        <v>4</v>
      </c>
      <c r="B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Гармаш Віктор Іванович</v>
      </c>
      <c r="C6" s="12">
        <v>1</v>
      </c>
      <c r="D6" s="12"/>
      <c r="E6" s="12"/>
      <c r="F6" s="12"/>
      <c r="G6" s="13"/>
    </row>
    <row r="7" spans="1:7" x14ac:dyDescent="0.25">
      <c r="A7" s="12">
        <f>IF(ISBLANK(B7),"",COUNTA($B$3:B7))</f>
        <v>5</v>
      </c>
      <c r="B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Коваленко Марина Петрівна</v>
      </c>
      <c r="C7" s="12">
        <v>1</v>
      </c>
      <c r="D7" s="12"/>
      <c r="E7" s="12"/>
      <c r="F7" s="12"/>
      <c r="G7" s="13"/>
    </row>
    <row r="8" spans="1:7" x14ac:dyDescent="0.25">
      <c r="A8" s="12">
        <f>IF(ISBLANK(B8),"",COUNTA($B$3:B8))</f>
        <v>6</v>
      </c>
      <c r="B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Костін Андрій Анатолійович</v>
      </c>
      <c r="C8" s="12">
        <v>1</v>
      </c>
      <c r="D8" s="12"/>
      <c r="E8" s="12"/>
      <c r="F8" s="12"/>
      <c r="G8" s="13"/>
    </row>
    <row r="9" spans="1:7" x14ac:dyDescent="0.25">
      <c r="A9" s="12">
        <f>IF(ISBLANK(B9),"",COUNTA($B$3:B9))</f>
        <v>7</v>
      </c>
      <c r="B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Лущик Любов Олександрівна</v>
      </c>
      <c r="C9" s="12">
        <v>1</v>
      </c>
      <c r="D9" s="12"/>
      <c r="E9" s="12"/>
      <c r="F9" s="12"/>
      <c r="G9" s="13"/>
    </row>
    <row r="10" spans="1:7" x14ac:dyDescent="0.25">
      <c r="A10" s="12">
        <f>IF(ISBLANK(B10),"",COUNTA($B$3:B10))</f>
        <v>8</v>
      </c>
      <c r="B1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Макух Богдан Володимирович</v>
      </c>
      <c r="C10" s="12">
        <v>1</v>
      </c>
      <c r="D10" s="12"/>
      <c r="E10" s="12"/>
      <c r="F10" s="12"/>
      <c r="G10" s="13"/>
    </row>
    <row r="11" spans="1:7" x14ac:dyDescent="0.25">
      <c r="A11" s="12">
        <f>IF(ISBLANK(B11),"",COUNTA($B$3:B11))</f>
        <v>9</v>
      </c>
      <c r="B1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Матухно Іван Григорович</v>
      </c>
      <c r="C11" s="12">
        <v>1</v>
      </c>
      <c r="D11" s="12"/>
      <c r="E11" s="12"/>
      <c r="F11" s="12"/>
      <c r="G11" s="13"/>
    </row>
    <row r="12" spans="1:7" x14ac:dyDescent="0.25">
      <c r="A12" s="12">
        <f>IF(ISBLANK(B12),"",COUNTA($B$3:B12))</f>
        <v>10</v>
      </c>
      <c r="B1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Мелащенко Іван Іванович</v>
      </c>
      <c r="C12" s="12">
        <v>1</v>
      </c>
      <c r="D12" s="12"/>
      <c r="E12" s="12"/>
      <c r="F12" s="12"/>
      <c r="G12" s="13"/>
    </row>
    <row r="13" spans="1:7" x14ac:dyDescent="0.25">
      <c r="A13" s="12">
        <f>IF(ISBLANK(B13),"",COUNTA($B$3:B13))</f>
        <v>11</v>
      </c>
      <c r="B1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Небрат Василь Іванович</v>
      </c>
      <c r="C13" s="12">
        <v>1</v>
      </c>
      <c r="D13" s="12"/>
      <c r="E13" s="12"/>
      <c r="F13" s="12"/>
      <c r="G13" s="13"/>
    </row>
    <row r="14" spans="1:7" x14ac:dyDescent="0.25">
      <c r="A14" s="12">
        <f>IF(ISBLANK(B14),"",COUNTA($B$3:B14))</f>
        <v>12</v>
      </c>
      <c r="B1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 xml:space="preserve">Небрат Володимир Гнатович </v>
      </c>
      <c r="C14" s="12">
        <v>1</v>
      </c>
      <c r="D14" s="12"/>
      <c r="E14" s="12"/>
      <c r="F14" s="12"/>
      <c r="G14" s="13"/>
    </row>
    <row r="15" spans="1:7" x14ac:dyDescent="0.25">
      <c r="A15" s="12">
        <f>IF(ISBLANK(B15),"",COUNTA($B$3:B15))</f>
        <v>13</v>
      </c>
      <c r="B1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Неліпа Віталій Михайлович</v>
      </c>
      <c r="C15" s="12">
        <v>1</v>
      </c>
      <c r="D15" s="12"/>
      <c r="E15" s="12"/>
      <c r="F15" s="12"/>
      <c r="G15" s="13"/>
    </row>
    <row r="16" spans="1:7" x14ac:dyDescent="0.25">
      <c r="A16" s="12">
        <f>IF(ISBLANK(B16),"",COUNTA($B$3:B16))</f>
        <v>14</v>
      </c>
      <c r="B1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Пальоха Тетяна Петрівна</v>
      </c>
      <c r="C16" s="12">
        <v>1</v>
      </c>
      <c r="D16" s="12"/>
      <c r="E16" s="12"/>
      <c r="F16" s="12"/>
      <c r="G16" s="13"/>
    </row>
    <row r="17" spans="1:7" x14ac:dyDescent="0.25">
      <c r="A17" s="12">
        <f>IF(ISBLANK(B17),"",COUNTA($B$3:B17))</f>
        <v>15</v>
      </c>
      <c r="B1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Панченко Сергій Вікторович</v>
      </c>
      <c r="C17" s="12">
        <v>1</v>
      </c>
      <c r="D17" s="12"/>
      <c r="E17" s="12"/>
      <c r="F17" s="12"/>
      <c r="G17" s="13"/>
    </row>
    <row r="18" spans="1:7" x14ac:dyDescent="0.25">
      <c r="A18" s="12">
        <f>IF(ISBLANK(B18),"",COUNTA($B$3:B18))</f>
        <v>16</v>
      </c>
      <c r="B1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Прищенко Тетяна Іванівна</v>
      </c>
      <c r="C18" s="12">
        <v>1</v>
      </c>
      <c r="D18" s="12"/>
      <c r="E18" s="12"/>
      <c r="F18" s="12"/>
      <c r="G18" s="13"/>
    </row>
    <row r="19" spans="1:7" x14ac:dyDescent="0.25">
      <c r="A19" s="12">
        <f>IF(ISBLANK(B19),"",COUNTA($B$3:B19))</f>
        <v>17</v>
      </c>
      <c r="B1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Садовий Сергій Миколайович</v>
      </c>
      <c r="C19" s="12">
        <v>1</v>
      </c>
      <c r="D19" s="12"/>
      <c r="E19" s="12"/>
      <c r="F19" s="12"/>
      <c r="G19" s="13"/>
    </row>
    <row r="20" spans="1:7" x14ac:dyDescent="0.25">
      <c r="A20" s="12">
        <f>IF(ISBLANK(B20),"",COUNTA($B$3:B20))</f>
        <v>18</v>
      </c>
      <c r="B20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Холявінська Олена Миколаївна</v>
      </c>
      <c r="C20" s="12">
        <v>1</v>
      </c>
      <c r="D20" s="12"/>
      <c r="E20" s="12"/>
      <c r="F20" s="12"/>
      <c r="G20" s="13"/>
    </row>
    <row r="21" spans="1:7" x14ac:dyDescent="0.25">
      <c r="A21" s="12">
        <f>IF(ISBLANK(B21),"",COUNTA($B$3:B21))</f>
        <v>19</v>
      </c>
      <c r="B21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Цопа Микола Миколайович</v>
      </c>
      <c r="C21" s="12">
        <v>1</v>
      </c>
      <c r="D21" s="12"/>
      <c r="E21" s="12"/>
      <c r="F21" s="12"/>
      <c r="G21" s="13"/>
    </row>
    <row r="22" spans="1:7" x14ac:dyDescent="0.25">
      <c r="A22" s="12">
        <f>IF(ISBLANK(B22),"",COUNTA($B$3:B22))</f>
        <v>20</v>
      </c>
      <c r="B22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Шашлова Тамара Вікторівна</v>
      </c>
      <c r="C22" s="12">
        <v>1</v>
      </c>
      <c r="D22" s="12"/>
      <c r="E22" s="12"/>
      <c r="F22" s="12"/>
      <c r="G22" s="13"/>
    </row>
    <row r="23" spans="1:7" x14ac:dyDescent="0.25">
      <c r="A23" s="12">
        <f>IF(ISBLANK(B23),"",COUNTA($B$3:B23))</f>
        <v>21</v>
      </c>
      <c r="B23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3" s="12"/>
      <c r="D23" s="12"/>
      <c r="E23" s="12"/>
      <c r="F23" s="12"/>
      <c r="G23" s="13"/>
    </row>
    <row r="24" spans="1:7" x14ac:dyDescent="0.25">
      <c r="A24" s="12">
        <f>IF(ISBLANK(B24),"",COUNTA($B$3:B24))</f>
        <v>22</v>
      </c>
      <c r="B24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4" s="12"/>
      <c r="D24" s="12"/>
      <c r="E24" s="12"/>
      <c r="F24" s="12"/>
      <c r="G24" s="13"/>
    </row>
    <row r="25" spans="1:7" x14ac:dyDescent="0.25">
      <c r="A25" s="12">
        <f>IF(ISBLANK(B25),"",COUNTA($B$3:B25))</f>
        <v>23</v>
      </c>
      <c r="B25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5" s="12"/>
      <c r="D25" s="12"/>
      <c r="E25" s="12"/>
      <c r="F25" s="12"/>
      <c r="G25" s="13"/>
    </row>
    <row r="26" spans="1:7" x14ac:dyDescent="0.25">
      <c r="A26" s="12">
        <f>IF(ISBLANK(B26),"",COUNTA($B$3:B26))</f>
        <v>24</v>
      </c>
      <c r="B26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6" s="12"/>
      <c r="D26" s="12"/>
      <c r="E26" s="12"/>
      <c r="F26" s="12"/>
      <c r="G26" s="13"/>
    </row>
    <row r="27" spans="1:7" x14ac:dyDescent="0.25">
      <c r="A27" s="12">
        <f>IF(ISBLANK(B27),"",COUNTA($B$3:B27))</f>
        <v>25</v>
      </c>
      <c r="B27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7" s="12"/>
      <c r="D27" s="12"/>
      <c r="E27" s="12"/>
      <c r="F27" s="12"/>
      <c r="G27" s="13"/>
    </row>
    <row r="28" spans="1:7" x14ac:dyDescent="0.25">
      <c r="A28" s="12">
        <f>IF(ISBLANK(B28),"",COUNTA($B$3:B28))</f>
        <v>26</v>
      </c>
      <c r="B28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8" s="12"/>
      <c r="D28" s="12"/>
      <c r="E28" s="12"/>
      <c r="F28" s="12"/>
      <c r="G28" s="13"/>
    </row>
    <row r="29" spans="1:7" x14ac:dyDescent="0.25">
      <c r="A29" s="12">
        <f>IF(ISBLANK(B29),"",COUNTA($B$3:B29))</f>
        <v>27</v>
      </c>
      <c r="B29" s="12" t="str">
        <f>IF(Таблица1[[#This Row],[кількість прибувших депутатів]]=1,Таблица1[[#This Row],[Прізвище, власне ім’я (усі власні імена), по батькові (за наявності) обраного депутата]],"депутат відсутній")</f>
        <v>депутат відсутній</v>
      </c>
      <c r="C29" s="12"/>
      <c r="D29" s="12"/>
      <c r="E29" s="12"/>
      <c r="F29" s="26"/>
      <c r="G29" s="14"/>
    </row>
    <row r="30" spans="1:7" x14ac:dyDescent="0.25">
      <c r="A30" s="30" t="s">
        <v>11</v>
      </c>
      <c r="B30" s="30"/>
      <c r="C30" s="30">
        <f>SUBTOTAL(109,Таблица2456789[За])</f>
        <v>20</v>
      </c>
      <c r="D30" s="30">
        <f>SUBTOTAL(109,Таблица2456789[Проти])</f>
        <v>0</v>
      </c>
      <c r="E30" s="30">
        <f>SUBTOTAL(109,Таблица2456789[Утрим])</f>
        <v>0</v>
      </c>
      <c r="F30" s="30">
        <f>SUBTOTAL(109,Таблица2456789[не голосували])</f>
        <v>0</v>
      </c>
    </row>
    <row r="31" spans="1:7" x14ac:dyDescent="0.25">
      <c r="B31" t="str">
        <f>IF(Таблица2456789[[#Totals],[За]]&gt;13,"Рішення прийнято","Рішення не прийнято")</f>
        <v>Рішення прийнято</v>
      </c>
    </row>
    <row r="33" spans="1:2" x14ac:dyDescent="0.25">
      <c r="B33" t="str">
        <f>'лічильна комісія'!B33</f>
        <v>Лічильна комісія:</v>
      </c>
    </row>
    <row r="34" spans="1:2" x14ac:dyDescent="0.25">
      <c r="A34">
        <f>'лічильна комісія'!A34</f>
        <v>1</v>
      </c>
      <c r="B34" t="str">
        <f>'лічильна комісія'!B34</f>
        <v>Коваленко М.П.</v>
      </c>
    </row>
    <row r="35" spans="1:2" x14ac:dyDescent="0.25">
      <c r="A35" t="str">
        <f>'лічильна комісія'!A35</f>
        <v/>
      </c>
    </row>
    <row r="36" spans="1:2" x14ac:dyDescent="0.25">
      <c r="A36">
        <f>'лічильна комісія'!A36</f>
        <v>2</v>
      </c>
      <c r="B36" t="str">
        <f>'лічильна комісія'!B36</f>
        <v>Матухно І.Г.</v>
      </c>
    </row>
    <row r="37" spans="1:2" x14ac:dyDescent="0.25">
      <c r="A37" t="str">
        <f>'лічильна комісія'!A37</f>
        <v/>
      </c>
    </row>
    <row r="38" spans="1:2" x14ac:dyDescent="0.25">
      <c r="A38">
        <f>'лічильна комісія'!A38</f>
        <v>3</v>
      </c>
      <c r="B38" t="str">
        <f>'лічильна комісія'!B38</f>
        <v>Цопа М.М.</v>
      </c>
    </row>
  </sheetData>
  <mergeCells count="1">
    <mergeCell ref="B1:F1"/>
  </mergeCells>
  <hyperlinks>
    <hyperlink ref="B1" location="'Порядок денний '!A1" display="'Порядок денний '!A1"/>
  </hyperlinks>
  <pageMargins left="0.7" right="0.7" top="0.75" bottom="0.75" header="0.3" footer="0.3"/>
  <pageSetup paperSize="9" scale="89" orientation="portrait" r:id="rId1"/>
  <colBreaks count="1" manualBreakCount="1">
    <brk id="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43</vt:i4>
      </vt:variant>
      <vt:variant>
        <vt:lpstr>Именованные диапазоны</vt:lpstr>
      </vt:variant>
      <vt:variant>
        <vt:i4>36</vt:i4>
      </vt:variant>
    </vt:vector>
  </HeadingPairs>
  <TitlesOfParts>
    <vt:vector size="79" baseType="lpstr">
      <vt:lpstr>явка</vt:lpstr>
      <vt:lpstr>Порядок денний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регламент</vt:lpstr>
      <vt:lpstr>лічильна комісія</vt:lpstr>
      <vt:lpstr>Секретар</vt:lpstr>
      <vt:lpstr>резерв</vt:lpstr>
      <vt:lpstr>За порядок денний</vt:lpstr>
      <vt:lpstr>дані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'Порядок денний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2018-03-19T10:37:51Z</cp:lastPrinted>
  <dcterms:created xsi:type="dcterms:W3CDTF">2016-01-11T09:21:51Z</dcterms:created>
  <dcterms:modified xsi:type="dcterms:W3CDTF">2019-01-17T14:24:36Z</dcterms:modified>
</cp:coreProperties>
</file>